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aArbetsbok"/>
  <bookViews>
    <workbookView xWindow="120" yWindow="90" windowWidth="12270" windowHeight="5535" activeTab="0"/>
  </bookViews>
  <sheets>
    <sheet name="Team Racing Calculator" sheetId="1" r:id="rId1"/>
  </sheets>
  <definedNames>
    <definedName name="_scenchg_count" localSheetId="0" hidden="1">1</definedName>
    <definedName name="_scenchg1" localSheetId="0" hidden="1">'Team Racing Calculator'!$C$3</definedName>
    <definedName name="HTML_CodePage" hidden="1">1252</definedName>
    <definedName name="HTML_Control" hidden="1">{"'Team Racing Calculator'!$A$1:$P$36"}</definedName>
    <definedName name="HTML_Description" hidden="1">""</definedName>
    <definedName name="HTML_Email" hidden="1">""</definedName>
    <definedName name="HTML_Header" hidden="1">"Team Racing Calculator"</definedName>
    <definedName name="HTML_LastUpdate" hidden="1">"1997-05-14"</definedName>
    <definedName name="HTML_LineAfter" hidden="1">TRUE</definedName>
    <definedName name="HTML_LineBefore" hidden="1">TRUE</definedName>
    <definedName name="HTML_Name" hidden="1">"Goran Olsson"</definedName>
    <definedName name="HTML_OBDlg2" hidden="1">TRUE</definedName>
    <definedName name="HTML_OBDlg4" hidden="1">TRUE</definedName>
    <definedName name="HTML_OS" hidden="1">0</definedName>
    <definedName name="HTML_PathFile" hidden="1">"C:\LINA\WEB\trcalc.htm"</definedName>
    <definedName name="HTML_Title" hidden="1">"trcalcp"</definedName>
    <definedName name="HTML1_1" hidden="1">"'[TRCALC2.XLS]Team Racing Calculator'!$A$1:$P$36"</definedName>
    <definedName name="HTML1_10" hidden="1">"olsson@plasma.kth.se"</definedName>
    <definedName name="HTML1_11" hidden="1">1</definedName>
    <definedName name="HTML1_12" hidden="1">"C:\LINA\WEB\TRCALC.HTM"</definedName>
    <definedName name="HTML1_2" hidden="1">1</definedName>
    <definedName name="HTML1_3" hidden="1">"Team Racing Calculator"</definedName>
    <definedName name="HTML1_4" hidden="1">"Team Racing Calculator"</definedName>
    <definedName name="HTML1_5" hidden="1">""</definedName>
    <definedName name="HTML1_6" hidden="1">-4146</definedName>
    <definedName name="HTML1_7" hidden="1">-4146</definedName>
    <definedName name="HTML1_8" hidden="1">"1997-02-13"</definedName>
    <definedName name="HTML1_9" hidden="1">"Göran Olsson"</definedName>
    <definedName name="HTMLCount" hidden="1">1</definedName>
    <definedName name="scen_change" localSheetId="0" hidden="1">'Team Racing Calculator'!$C$3</definedName>
    <definedName name="scen_date1" localSheetId="0" hidden="1">34465.8993171296</definedName>
    <definedName name="scen_name1" localSheetId="0" hidden="1">"keeppow"</definedName>
    <definedName name="scen_num" localSheetId="0" hidden="1">1</definedName>
    <definedName name="scen_result" localSheetId="0" hidden="1">'Team Racing Calculator'!$F$7</definedName>
    <definedName name="scen_user1" localSheetId="0" hidden="1">"JOHAN"</definedName>
    <definedName name="scen_value1" localSheetId="0" hidden="1">192.9865398733</definedName>
    <definedName name="solver_adj" localSheetId="0" hidden="1">'Team Racing Calculator'!$C$3</definedName>
    <definedName name="solver_lin" localSheetId="0" hidden="1">0</definedName>
    <definedName name="solver_num" localSheetId="0" hidden="1">0</definedName>
    <definedName name="solver_opt" localSheetId="0" hidden="1">'Team Racing Calculator'!$F$7</definedName>
    <definedName name="solver_typ" localSheetId="0" hidden="1">3</definedName>
    <definedName name="solver_val" localSheetId="0" hidden="1">615.7</definedName>
  </definedNames>
  <calcPr fullCalcOnLoad="1"/>
</workbook>
</file>

<file path=xl/comments1.xml><?xml version="1.0" encoding="utf-8"?>
<comments xmlns="http://schemas.openxmlformats.org/spreadsheetml/2006/main">
  <authors>
    <author>En n?jd Microsoft Office-anv?ndare</author>
    <author>Goran Olsson</author>
    <author>Alfven Laboratory</author>
  </authors>
  <commentList>
    <comment ref="M2" authorId="0">
      <text>
        <r>
          <rPr>
            <sz val="8"/>
            <color indexed="8"/>
            <rFont val="Tahoma"/>
            <family val="0"/>
          </rPr>
          <t>Real air data is used throughout to calculate the actual drag, Re and so on, rather than 'standard air'</t>
        </r>
      </text>
    </comment>
    <comment ref="C3" authorId="0">
      <text>
        <r>
          <rPr>
            <b/>
            <sz val="8"/>
            <color indexed="8"/>
            <rFont val="Tahoma"/>
            <family val="2"/>
          </rPr>
          <t>The true airspeed</t>
        </r>
      </text>
    </comment>
    <comment ref="F3" authorId="0">
      <text>
        <r>
          <rPr>
            <sz val="8"/>
            <color indexed="8"/>
            <rFont val="Tahoma"/>
            <family val="0"/>
          </rPr>
          <t>The true in flight RPM</t>
        </r>
      </text>
    </comment>
    <comment ref="C4" authorId="0">
      <text>
        <r>
          <rPr>
            <sz val="8"/>
            <color indexed="8"/>
            <rFont val="Tahoma"/>
            <family val="0"/>
          </rPr>
          <t>The flying height above ground</t>
        </r>
      </text>
    </comment>
    <comment ref="F4" authorId="0">
      <text>
        <r>
          <rPr>
            <sz val="8"/>
            <color indexed="8"/>
            <rFont val="Tahoma"/>
            <family val="0"/>
          </rPr>
          <t>Power converted to BHP</t>
        </r>
      </text>
    </comment>
    <comment ref="I4" authorId="0">
      <text>
        <r>
          <rPr>
            <sz val="8"/>
            <color indexed="8"/>
            <rFont val="Tahoma"/>
            <family val="0"/>
          </rPr>
          <t>Used to estimate the induced drag. For a typical F2C wing, do not alter.</t>
        </r>
      </text>
    </comment>
    <comment ref="P4" authorId="0">
      <text>
        <r>
          <rPr>
            <sz val="8"/>
            <color indexed="8"/>
            <rFont val="Tahoma"/>
            <family val="0"/>
          </rPr>
          <t>Normal pressure at sea level is 101,325 kPa, or 760 mm Hg</t>
        </r>
      </text>
    </comment>
    <comment ref="C5" authorId="0">
      <text>
        <r>
          <rPr>
            <sz val="8"/>
            <color indexed="8"/>
            <rFont val="Tahoma"/>
            <family val="0"/>
          </rPr>
          <t>The handle height above ground</t>
        </r>
      </text>
    </comment>
    <comment ref="F5" authorId="0">
      <text>
        <r>
          <rPr>
            <sz val="8"/>
            <color indexed="8"/>
            <rFont val="Tahoma"/>
            <family val="0"/>
          </rPr>
          <t>The engine torque at the power and RPM</t>
        </r>
      </text>
    </comment>
    <comment ref="C6" authorId="0">
      <text>
        <r>
          <rPr>
            <sz val="8"/>
            <color indexed="8"/>
            <rFont val="Tahoma"/>
            <family val="0"/>
          </rPr>
          <t>The handle distance from the center of rotation in the direction to the model
Rule: Always positive</t>
        </r>
      </text>
    </comment>
    <comment ref="F6" authorId="0">
      <text>
        <r>
          <rPr>
            <sz val="8"/>
            <color indexed="8"/>
            <rFont val="Tahoma"/>
            <family val="0"/>
          </rPr>
          <t>This is just calculated as the engine energy over the fuel energy of a tank</t>
        </r>
      </text>
    </comment>
    <comment ref="I6" authorId="0">
      <text>
        <r>
          <rPr>
            <sz val="8"/>
            <color indexed="8"/>
            <rFont val="Tahoma"/>
            <family val="0"/>
          </rPr>
          <t>The lift coefficient of the wing to get the required lift</t>
        </r>
      </text>
    </comment>
    <comment ref="C7" authorId="0">
      <text>
        <r>
          <rPr>
            <sz val="8"/>
            <color indexed="8"/>
            <rFont val="Tahoma"/>
            <family val="0"/>
          </rPr>
          <t>The handle distance from the center of rotation perpendicular to the direction to the model. Left (whipping) is positive.
Rule: Always negative</t>
        </r>
      </text>
    </comment>
    <comment ref="F7" authorId="0">
      <text>
        <r>
          <rPr>
            <sz val="8"/>
            <color indexed="8"/>
            <rFont val="Tahoma"/>
            <family val="0"/>
          </rPr>
          <t>The required engine power assuming a propeller power efficiency of 80%</t>
        </r>
      </text>
    </comment>
    <comment ref="I7" authorId="0">
      <text>
        <r>
          <rPr>
            <sz val="8"/>
            <color indexed="8"/>
            <rFont val="Tahoma"/>
            <family val="0"/>
          </rPr>
          <t>The approximate airfoil camber that will give the required lift at 0 deg angle of attack</t>
        </r>
      </text>
    </comment>
    <comment ref="C8" authorId="0">
      <text>
        <r>
          <rPr>
            <sz val="8"/>
            <color indexed="8"/>
            <rFont val="Tahoma"/>
            <family val="0"/>
          </rPr>
          <t>Necessary flight power resulting from the drag and pilot influence.</t>
        </r>
      </text>
    </comment>
    <comment ref="F8" authorId="0">
      <text>
        <r>
          <rPr>
            <sz val="8"/>
            <color indexed="8"/>
            <rFont val="Tahoma"/>
            <family val="0"/>
          </rPr>
          <t>Set this value equal to either the engine power if you know it or equal to the engine power from the last calculation before you change something. This way the resulting speed can be iterated. See separate instructions.</t>
        </r>
      </text>
    </comment>
    <comment ref="C9" authorId="0">
      <text>
        <r>
          <rPr>
            <sz val="8"/>
            <color indexed="8"/>
            <rFont val="Tahoma"/>
            <family val="0"/>
          </rPr>
          <t>Necessary lift resulting from the model weight and the altitude with respect to the handle</t>
        </r>
      </text>
    </comment>
    <comment ref="D9" authorId="0">
      <text>
        <r>
          <rPr>
            <sz val="8"/>
            <color indexed="8"/>
            <rFont val="Tahoma"/>
            <family val="0"/>
          </rPr>
          <t>These are estimates from standard drag data figures (Hoerner...) For everything behind the propeller a slip stream correction is applied</t>
        </r>
      </text>
    </comment>
    <comment ref="C10" authorId="0">
      <text>
        <r>
          <rPr>
            <sz val="8"/>
            <color indexed="8"/>
            <rFont val="Tahoma"/>
            <family val="0"/>
          </rPr>
          <t>Resulting from true flight radius and true airspeed.</t>
        </r>
      </text>
    </comment>
    <comment ref="F10" authorId="0">
      <text>
        <r>
          <rPr>
            <sz val="8"/>
            <color indexed="8"/>
            <rFont val="Tahoma"/>
            <family val="0"/>
          </rPr>
          <t>For wing and tail the projected area; For all others the frontal area.</t>
        </r>
      </text>
    </comment>
    <comment ref="H10" authorId="0">
      <text>
        <r>
          <rPr>
            <sz val="8"/>
            <color indexed="8"/>
            <rFont val="Tahoma"/>
            <family val="0"/>
          </rPr>
          <t>Slip correction applied to all things behind the propeller</t>
        </r>
      </text>
    </comment>
    <comment ref="K10" authorId="0">
      <text>
        <r>
          <rPr>
            <sz val="8"/>
            <color indexed="8"/>
            <rFont val="Tahoma"/>
            <family val="0"/>
          </rPr>
          <t>The 'characteristic dimension' for calculating Reynold's number. For a wing it is the chord, for most other objects it is the width.</t>
        </r>
      </text>
    </comment>
    <comment ref="F11" authorId="0">
      <text>
        <r>
          <rPr>
            <sz val="8"/>
            <color indexed="8"/>
            <rFont val="Tahoma"/>
            <family val="0"/>
          </rPr>
          <t>Rule: 1200 minimum (wing+tail)</t>
        </r>
      </text>
    </comment>
    <comment ref="C12" authorId="0">
      <text>
        <r>
          <rPr>
            <sz val="8"/>
            <color indexed="8"/>
            <rFont val="Tahoma"/>
            <family val="0"/>
          </rPr>
          <t>The planned range</t>
        </r>
      </text>
    </comment>
    <comment ref="C13" authorId="0">
      <text>
        <r>
          <rPr>
            <sz val="8"/>
            <color indexed="8"/>
            <rFont val="Tahoma"/>
            <family val="0"/>
          </rPr>
          <t>A fixed 2.5 seconds acceleration loss is  applied</t>
        </r>
      </text>
    </comment>
    <comment ref="F13" authorId="0">
      <text>
        <r>
          <rPr>
            <sz val="8"/>
            <color indexed="8"/>
            <rFont val="Tahoma"/>
            <family val="0"/>
          </rPr>
          <t>Rule: 39 minimum</t>
        </r>
      </text>
    </comment>
    <comment ref="C14" authorId="0">
      <text>
        <r>
          <rPr>
            <sz val="8"/>
            <color indexed="8"/>
            <rFont val="Tahoma"/>
            <family val="0"/>
          </rPr>
          <t>The required engine energy output from a tank</t>
        </r>
      </text>
    </comment>
    <comment ref="F20" authorId="0">
      <text>
        <r>
          <rPr>
            <sz val="8"/>
            <color indexed="8"/>
            <rFont val="Tahoma"/>
            <family val="0"/>
          </rPr>
          <t>Actual line area is divided by 4 as an approximation of the drag integrated over the radius.</t>
        </r>
      </text>
    </comment>
    <comment ref="G20" authorId="0">
      <text>
        <r>
          <rPr>
            <sz val="8"/>
            <color indexed="8"/>
            <rFont val="Tahoma"/>
            <family val="0"/>
          </rPr>
          <t>Weighted average Cd over the line referred to the inner wing tip speed</t>
        </r>
      </text>
    </comment>
    <comment ref="C15" authorId="0">
      <text>
        <r>
          <rPr>
            <sz val="8"/>
            <color indexed="8"/>
            <rFont val="Tahoma"/>
            <family val="0"/>
          </rPr>
          <t>The energy in a tank, based on the values for kerosene and ether</t>
        </r>
      </text>
    </comment>
    <comment ref="C16" authorId="0">
      <text>
        <r>
          <rPr>
            <sz val="8"/>
            <color indexed="8"/>
            <rFont val="Tahoma"/>
            <family val="0"/>
          </rPr>
          <t>Allowed values: 1, 3 and 7</t>
        </r>
      </text>
    </comment>
    <comment ref="C17" authorId="0">
      <text>
        <r>
          <rPr>
            <sz val="8"/>
            <color indexed="8"/>
            <rFont val="Tahoma"/>
            <family val="0"/>
          </rPr>
          <t>Rule: 15,92 minimum</t>
        </r>
      </text>
    </comment>
    <comment ref="C18" authorId="0">
      <text>
        <r>
          <rPr>
            <sz val="8"/>
            <color indexed="8"/>
            <rFont val="Tahoma"/>
            <family val="0"/>
          </rPr>
          <t>Rule: 0,339 minimum single strand or 0,350
 minimum three strand</t>
        </r>
      </text>
    </comment>
    <comment ref="C19" authorId="0">
      <text>
        <r>
          <rPr>
            <sz val="8"/>
            <color indexed="8"/>
            <rFont val="Tahoma"/>
            <family val="0"/>
          </rPr>
          <t xml:space="preserve">The estimated effect on the drag by the lines being behind each other. </t>
        </r>
      </text>
    </comment>
    <comment ref="C20" authorId="0">
      <text>
        <r>
          <rPr>
            <sz val="8"/>
            <color indexed="8"/>
            <rFont val="Tahoma"/>
            <family val="0"/>
          </rPr>
          <t>Weight of lines. The theoretical tip weight  to compensate is 1/2 in start/landing and 2/3 in flight</t>
        </r>
      </text>
    </comment>
    <comment ref="C21" authorId="0">
      <text>
        <r>
          <rPr>
            <sz val="8"/>
            <color indexed="8"/>
            <rFont val="Tahoma"/>
            <family val="0"/>
          </rPr>
          <t>The angle between the lines and the flight radius at the line guide . Influence of handle position included</t>
        </r>
      </text>
    </comment>
    <comment ref="F21" authorId="0">
      <text>
        <r>
          <rPr>
            <sz val="8"/>
            <color indexed="8"/>
            <rFont val="Tahoma"/>
            <family val="0"/>
          </rPr>
          <t>Diameter and 1, 3 or 7 strands used</t>
        </r>
      </text>
    </comment>
    <comment ref="C22" authorId="0">
      <text>
        <r>
          <rPr>
            <sz val="8"/>
            <color indexed="8"/>
            <rFont val="Tahoma"/>
            <family val="0"/>
          </rPr>
          <t>Shortening due to the backwards curvature due to drag, approximate calculation.</t>
        </r>
      </text>
    </comment>
    <comment ref="F22" authorId="0">
      <text>
        <r>
          <rPr>
            <sz val="8"/>
            <color indexed="8"/>
            <rFont val="Tahoma"/>
            <family val="0"/>
          </rPr>
          <t>Approximate radius used to avoid circular references. Drag component neglected.
Weight of lines accounted for.</t>
        </r>
      </text>
    </comment>
    <comment ref="J22" authorId="0">
      <text>
        <r>
          <rPr>
            <sz val="8"/>
            <color indexed="8"/>
            <rFont val="Tahoma"/>
            <family val="0"/>
          </rPr>
          <t>The force on the model by the pilot due to the handle position  relative to the center of rotation</t>
        </r>
      </text>
    </comment>
    <comment ref="C23" authorId="0">
      <text>
        <r>
          <rPr>
            <sz val="8"/>
            <color indexed="8"/>
            <rFont val="Tahoma"/>
            <family val="0"/>
          </rPr>
          <t>Stretching due to tension and shortening due to lines curving backwards due to drag, plus handle position</t>
        </r>
      </text>
    </comment>
    <comment ref="F23" authorId="0">
      <text>
        <r>
          <rPr>
            <sz val="8"/>
            <color indexed="8"/>
            <rFont val="Tahoma"/>
            <family val="0"/>
          </rPr>
          <t>Stretch due to tension. Cross section and modulus of steel used.</t>
        </r>
      </text>
    </comment>
    <comment ref="A24" authorId="0">
      <text>
        <r>
          <rPr>
            <sz val="8"/>
            <color indexed="8"/>
            <rFont val="Tahoma"/>
            <family val="0"/>
          </rPr>
          <t>The propeller data are merely notes. No attempt to calculate a design is made.</t>
        </r>
      </text>
    </comment>
    <comment ref="F1" authorId="1">
      <text>
        <r>
          <rPr>
            <sz val="8"/>
            <color indexed="8"/>
            <rFont val="Tahoma"/>
            <family val="0"/>
          </rPr>
          <t>Shaded fields are inputs that you may change. White fields are calculated results.
There are tools to reiterate to get certain values for some of the shaded fields.
See the 'Tools' tab of the Excel menu.</t>
        </r>
      </text>
    </comment>
    <comment ref="C11" authorId="1">
      <text>
        <r>
          <rPr>
            <sz val="8"/>
            <color indexed="8"/>
            <rFont val="Tahoma"/>
            <family val="2"/>
          </rPr>
          <t xml:space="preserve">The macro SetSpeedForGivenTime will adjust Speed so the above value equals this. The macro SetTargetTime will adjust this to equal the above.
</t>
        </r>
      </text>
    </comment>
    <comment ref="L20" authorId="1">
      <text>
        <r>
          <rPr>
            <sz val="8"/>
            <color indexed="8"/>
            <rFont val="Tahoma"/>
            <family val="2"/>
          </rPr>
          <t>Re att inner wing tip</t>
        </r>
        <r>
          <rPr>
            <sz val="8"/>
            <color indexed="8"/>
            <rFont val="Tahoma"/>
            <family val="0"/>
          </rPr>
          <t xml:space="preserve">
</t>
        </r>
      </text>
    </comment>
    <comment ref="J2" authorId="1">
      <text>
        <r>
          <rPr>
            <sz val="8"/>
            <color indexed="8"/>
            <rFont val="Tahoma"/>
            <family val="2"/>
          </rPr>
          <t xml:space="preserve">Complete combustion assumed
</t>
        </r>
      </text>
    </comment>
    <comment ref="L4" authorId="1">
      <text>
        <r>
          <rPr>
            <sz val="8"/>
            <color indexed="8"/>
            <rFont val="Tahoma"/>
            <family val="2"/>
          </rPr>
          <t xml:space="preserve">The air mass needed to burn the tank volume of fuel over tank time
</t>
        </r>
      </text>
    </comment>
    <comment ref="L8" authorId="1">
      <text>
        <r>
          <rPr>
            <sz val="8"/>
            <color indexed="8"/>
            <rFont val="Tahoma"/>
            <family val="2"/>
          </rPr>
          <t xml:space="preserve">Average. Peak is around four times higher.
</t>
        </r>
      </text>
    </comment>
    <comment ref="N1" authorId="1">
      <text>
        <r>
          <rPr>
            <b/>
            <sz val="8"/>
            <color indexed="8"/>
            <rFont val="Tahoma"/>
            <family val="0"/>
          </rPr>
          <t>Thanks to Pete Soule for helpful advice, especially on line drag</t>
        </r>
        <r>
          <rPr>
            <sz val="8"/>
            <color indexed="8"/>
            <rFont val="Tahoma"/>
            <family val="0"/>
          </rPr>
          <t xml:space="preserve">
</t>
        </r>
      </text>
    </comment>
    <comment ref="G11" authorId="2">
      <text>
        <r>
          <rPr>
            <sz val="8"/>
            <rFont val="Tahoma"/>
            <family val="0"/>
          </rPr>
          <t xml:space="preserve">Cd from a calculation by Pete Soule for a typical T/R flying wing
</t>
        </r>
      </text>
    </comment>
  </commentList>
</comments>
</file>

<file path=xl/sharedStrings.xml><?xml version="1.0" encoding="utf-8"?>
<sst xmlns="http://schemas.openxmlformats.org/spreadsheetml/2006/main" count="125" uniqueCount="119">
  <si>
    <t>Team Racing Spreadsheet</t>
  </si>
  <si>
    <t>Under Continuous Development</t>
  </si>
  <si>
    <t>Flight Data:</t>
  </si>
  <si>
    <t>(m/s):</t>
  </si>
  <si>
    <t>Engine Data:</t>
  </si>
  <si>
    <t>Model Data:</t>
  </si>
  <si>
    <t>Engine Air Intake:</t>
  </si>
  <si>
    <t>Air Data:</t>
  </si>
  <si>
    <t>Speed (km/h):</t>
  </si>
  <si>
    <t>RPM (r/min):</t>
  </si>
  <si>
    <t>Wing Span (m):</t>
  </si>
  <si>
    <t>(ml/s):</t>
  </si>
  <si>
    <t>Temperature (C):</t>
  </si>
  <si>
    <t>Altitude (m):</t>
  </si>
  <si>
    <t>bhp:</t>
  </si>
  <si>
    <t>Wing form factor:</t>
  </si>
  <si>
    <t>(g/s):</t>
  </si>
  <si>
    <t>Pressure (kPa):</t>
  </si>
  <si>
    <t>Handle Height (m):</t>
  </si>
  <si>
    <t>Torque (Nm):</t>
  </si>
  <si>
    <t>Weight (kg):</t>
  </si>
  <si>
    <t>(ml/rev):</t>
  </si>
  <si>
    <t>Handle Out (m):</t>
  </si>
  <si>
    <t>Efficiency (%):</t>
  </si>
  <si>
    <t>Effective Cl:</t>
  </si>
  <si>
    <t>(mg/rev):</t>
  </si>
  <si>
    <t>Dynamic viscosity:</t>
  </si>
  <si>
    <t>Handle Left (m):</t>
  </si>
  <si>
    <t>Power (W):</t>
  </si>
  <si>
    <t>Opt. camber (%):</t>
  </si>
  <si>
    <t>Venturi dia (mm):</t>
  </si>
  <si>
    <t>Kinematic viscosity:</t>
  </si>
  <si>
    <t>Flight Power (W):</t>
  </si>
  <si>
    <t>Target Power (W):</t>
  </si>
  <si>
    <t>Tank volume (ml):</t>
  </si>
  <si>
    <t>Air speed (m/s):</t>
  </si>
  <si>
    <t>Speed, sound (km/h):</t>
  </si>
  <si>
    <t>Lift (N):</t>
  </si>
  <si>
    <t>Drag Data:</t>
  </si>
  <si>
    <t>Dynamic pressure (Pa):</t>
  </si>
  <si>
    <t>% of:</t>
  </si>
  <si>
    <t>Performance:</t>
  </si>
  <si>
    <t>Time for 10 laps (s):</t>
  </si>
  <si>
    <t>Feature</t>
  </si>
  <si>
    <t>Slip corr.</t>
  </si>
  <si>
    <t>Drag (N)</t>
  </si>
  <si>
    <t>Dim.(m)</t>
  </si>
  <si>
    <t>RN</t>
  </si>
  <si>
    <t>total</t>
  </si>
  <si>
    <t>aerod.</t>
  </si>
  <si>
    <t>Start loss (s):</t>
  </si>
  <si>
    <t>Target Time: (s):</t>
  </si>
  <si>
    <t>Wing</t>
  </si>
  <si>
    <t>Laps/tank:</t>
  </si>
  <si>
    <t>Tail</t>
  </si>
  <si>
    <t>Pitstop loss (s):</t>
  </si>
  <si>
    <t>Time for 1 tank (s):</t>
  </si>
  <si>
    <t>Fuselage</t>
  </si>
  <si>
    <t>Engine E/tank (kJ):</t>
  </si>
  <si>
    <t>Landing gear leg</t>
  </si>
  <si>
    <t>Possible Times:</t>
  </si>
  <si>
    <t>Fuel E/tank (kJ):</t>
  </si>
  <si>
    <t>Wheel</t>
  </si>
  <si>
    <t>100 laps:</t>
  </si>
  <si>
    <t>Lines:</t>
  </si>
  <si>
    <t>Strands:</t>
  </si>
  <si>
    <t>Cooling ducts</t>
  </si>
  <si>
    <t>Length (m):</t>
  </si>
  <si>
    <t>Other</t>
  </si>
  <si>
    <t>200 laps:</t>
  </si>
  <si>
    <t>Diameter (mm):</t>
  </si>
  <si>
    <t>Exhaust shield</t>
  </si>
  <si>
    <t>Interference Factor:</t>
  </si>
  <si>
    <t>Induced</t>
  </si>
  <si>
    <t>(wing)</t>
  </si>
  <si>
    <t>Help Variables:</t>
  </si>
  <si>
    <t>Weight (g):</t>
  </si>
  <si>
    <t>Lines (corr. A):</t>
  </si>
  <si>
    <t>Target Efficiency:</t>
  </si>
  <si>
    <t>Rake @ Model (deg):</t>
  </si>
  <si>
    <t>TOTAL Aerodynamic (N):</t>
  </si>
  <si>
    <t>W</t>
  </si>
  <si>
    <t>%</t>
  </si>
  <si>
    <t>Rake Shorten (mm):</t>
  </si>
  <si>
    <t>Pull @ Handle (N):</t>
  </si>
  <si>
    <t>Pilot influence (N):</t>
  </si>
  <si>
    <t>E Diff:</t>
  </si>
  <si>
    <t>T diff:</t>
  </si>
  <si>
    <t>True Flight Radius (m):</t>
  </si>
  <si>
    <t>Stretch (mm):</t>
  </si>
  <si>
    <t>TOTAL (N):</t>
  </si>
  <si>
    <t xml:space="preserve"> </t>
  </si>
  <si>
    <t>Propeller Data:</t>
  </si>
  <si>
    <t>Effective pitch (mm):</t>
  </si>
  <si>
    <t>(in):</t>
  </si>
  <si>
    <t>Diameter(mm):</t>
  </si>
  <si>
    <t># Blades:</t>
  </si>
  <si>
    <t>P Diff:</t>
  </si>
  <si>
    <t>Radius (mm):</t>
  </si>
  <si>
    <t>Airspeed (km/h):</t>
  </si>
  <si>
    <t>Mach:</t>
  </si>
  <si>
    <t>Blade Chord (mm):</t>
  </si>
  <si>
    <t>Cl:</t>
  </si>
  <si>
    <t>Reynold's N:</t>
  </si>
  <si>
    <t>/1000</t>
  </si>
  <si>
    <t>Zero Angle (deg):</t>
  </si>
  <si>
    <t>Blade angle (deg):</t>
  </si>
  <si>
    <t>Pitch (mm):</t>
  </si>
  <si>
    <t>TOTAL</t>
  </si>
  <si>
    <t>L/R</t>
  </si>
  <si>
    <t>T/R*1000</t>
  </si>
  <si>
    <t>Density</t>
  </si>
  <si>
    <r>
      <t>(kg/m</t>
    </r>
    <r>
      <rPr>
        <vertAlign val="superscript"/>
        <sz val="10"/>
        <rFont val="Arial"/>
        <family val="2"/>
      </rPr>
      <t>3</t>
    </r>
    <r>
      <rPr>
        <sz val="10"/>
        <rFont val="Arial"/>
        <family val="2"/>
      </rPr>
      <t>):</t>
    </r>
  </si>
  <si>
    <r>
      <t>Wire X-Sectn (m</t>
    </r>
    <r>
      <rPr>
        <vertAlign val="superscript"/>
        <sz val="10"/>
        <rFont val="Arial"/>
        <family val="2"/>
      </rPr>
      <t>2</t>
    </r>
    <r>
      <rPr>
        <sz val="10"/>
        <rFont val="Arial"/>
        <family val="2"/>
      </rPr>
      <t>):</t>
    </r>
  </si>
  <si>
    <r>
      <t>A (cm</t>
    </r>
    <r>
      <rPr>
        <i/>
        <vertAlign val="superscript"/>
        <sz val="10"/>
        <rFont val="Arial"/>
        <family val="2"/>
      </rPr>
      <t>2</t>
    </r>
    <r>
      <rPr>
        <i/>
        <sz val="10"/>
        <rFont val="Arial"/>
        <family val="2"/>
      </rPr>
      <t>)</t>
    </r>
  </si>
  <si>
    <r>
      <t>C</t>
    </r>
    <r>
      <rPr>
        <i/>
        <vertAlign val="subscript"/>
        <sz val="10"/>
        <rFont val="Arial"/>
        <family val="2"/>
      </rPr>
      <t>d</t>
    </r>
  </si>
  <si>
    <t>Drag A</t>
  </si>
  <si>
    <t>V8.0</t>
  </si>
  <si>
    <t>Göran Olsson 2002-2009</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</si>
</sst>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Yes&quot;;&quot;Yes&quot;;&quot;No&quot;"/>
    <numFmt numFmtId="165" formatCode="&quot;True&quot;;&quot;True&quot;;&quot;False&quot;"/>
    <numFmt numFmtId="166" formatCode="&quot;On&quot;;&quot;On&quot;;&quot;Off&quot;"/>
    <numFmt numFmtId="167" formatCode="###0"/>
    <numFmt numFmtId="168" formatCode="dd\ mmm"/>
    <numFmt numFmtId="169" formatCode="#,##0.0"/>
    <numFmt numFmtId="170" formatCode="#,##0.000"/>
    <numFmt numFmtId="171" formatCode="###0.0"/>
    <numFmt numFmtId="172" formatCode="#0.000"/>
    <numFmt numFmtId="173" formatCode="#,##0.00000"/>
    <numFmt numFmtId="174" formatCode="#,##0.0000"/>
    <numFmt numFmtId="175" formatCode="0.000E+0"/>
    <numFmt numFmtId="176" formatCode="0.0"/>
    <numFmt numFmtId="177" formatCode="0.0E+0"/>
    <numFmt numFmtId="178" formatCode="00.0"/>
    <numFmt numFmtId="179" formatCode="0.00E+0"/>
    <numFmt numFmtId="180" formatCode="000.0"/>
    <numFmt numFmtId="181" formatCode="0.000"/>
    <numFmt numFmtId="182" formatCode="0.00000"/>
  </numFmts>
  <fonts count="15">
    <font>
      <sz val="10"/>
      <name val="Arial"/>
      <family val="2"/>
    </font>
    <font>
      <u val="single"/>
      <sz val="10"/>
      <color indexed="12"/>
      <name val="Arial"/>
      <family val="2"/>
    </font>
    <font>
      <u val="single"/>
      <sz val="10"/>
      <color indexed="20"/>
      <name val="Arial"/>
      <family val="2"/>
    </font>
    <font>
      <b/>
      <sz val="10"/>
      <name val="Arial"/>
      <family val="2"/>
    </font>
    <font>
      <b/>
      <i/>
      <sz val="16"/>
      <name val="Southern"/>
      <family val="2"/>
    </font>
    <font>
      <b/>
      <sz val="12"/>
      <name val="Arial"/>
      <family val="2"/>
    </font>
    <font>
      <b/>
      <i/>
      <sz val="10"/>
      <name val="Arial"/>
      <family val="2"/>
    </font>
    <font>
      <i/>
      <sz val="10"/>
      <name val="Arial"/>
      <family val="2"/>
    </font>
    <font>
      <sz val="8"/>
      <color indexed="8"/>
      <name val="Tahoma"/>
      <family val="0"/>
    </font>
    <font>
      <b/>
      <sz val="8"/>
      <color indexed="8"/>
      <name val="Tahoma"/>
      <family val="0"/>
    </font>
    <font>
      <vertAlign val="superscript"/>
      <sz val="10"/>
      <name val="Arial"/>
      <family val="2"/>
    </font>
    <font>
      <i/>
      <vertAlign val="superscript"/>
      <sz val="10"/>
      <name val="Arial"/>
      <family val="2"/>
    </font>
    <font>
      <sz val="8"/>
      <name val="Tahoma"/>
      <family val="0"/>
    </font>
    <font>
      <i/>
      <vertAlign val="subscript"/>
      <sz val="10"/>
      <name val="Arial"/>
      <family val="2"/>
    </font>
    <font>
      <b/>
      <sz val="8"/>
      <name val="Arial"/>
      <family val="2"/>
    </font>
  </fonts>
  <fills count="3">
    <fill>
      <patternFill/>
    </fill>
    <fill>
      <patternFill patternType="gray125"/>
    </fill>
    <fill>
      <patternFill patternType="lightGray">
        <fgColor indexed="9"/>
        <bgColor indexed="43"/>
      </patternFill>
    </fill>
  </fills>
  <borders count="20">
    <border>
      <left/>
      <right/>
      <top/>
      <bottom/>
      <diagonal/>
    </border>
    <border>
      <left style="thin"/>
      <right style="thin"/>
      <top style="thin"/>
      <bottom>
        <color indexed="63"/>
      </bottom>
    </border>
    <border>
      <left style="medium"/>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color indexed="8"/>
      </right>
      <top>
        <color indexed="63"/>
      </top>
      <bottom>
        <color indexed="63"/>
      </bottom>
    </border>
    <border>
      <left style="thin"/>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hair"/>
      <right style="hair"/>
      <top>
        <color indexed="63"/>
      </top>
      <bottom style="hair"/>
    </border>
    <border>
      <left>
        <color indexed="63"/>
      </left>
      <right style="hair"/>
      <top>
        <color indexed="63"/>
      </top>
      <bottom style="hair"/>
    </border>
    <border>
      <left>
        <color indexed="63"/>
      </left>
      <right style="medium"/>
      <top>
        <color indexed="63"/>
      </top>
      <bottom style="hair"/>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3" fillId="0" borderId="0" xfId="0" applyFont="1" applyAlignment="1">
      <alignment/>
    </xf>
    <xf numFmtId="167" fontId="3" fillId="0" borderId="0" xfId="0" applyNumberFormat="1" applyFont="1" applyAlignment="1">
      <alignment horizontal="center"/>
    </xf>
    <xf numFmtId="168" fontId="3" fillId="0" borderId="0" xfId="0" applyNumberFormat="1" applyFont="1" applyAlignment="1">
      <alignment horizontal="center"/>
    </xf>
    <xf numFmtId="0" fontId="4" fillId="0" borderId="1" xfId="0" applyFont="1" applyBorder="1" applyAlignment="1">
      <alignment horizontal="center"/>
    </xf>
    <xf numFmtId="0" fontId="5" fillId="0" borderId="0" xfId="0" applyFont="1" applyAlignment="1">
      <alignment/>
    </xf>
    <xf numFmtId="0" fontId="0" fillId="0" borderId="0" xfId="0" applyAlignment="1">
      <alignment horizontal="center"/>
    </xf>
    <xf numFmtId="0" fontId="6" fillId="0" borderId="0" xfId="0" applyFont="1" applyAlignment="1">
      <alignment/>
    </xf>
    <xf numFmtId="0" fontId="6" fillId="0" borderId="0" xfId="0" applyFont="1" applyAlignment="1">
      <alignment horizontal="left"/>
    </xf>
    <xf numFmtId="0" fontId="3" fillId="0" borderId="2" xfId="0" applyFont="1" applyBorder="1" applyAlignment="1">
      <alignment/>
    </xf>
    <xf numFmtId="0" fontId="0" fillId="0" borderId="3" xfId="0" applyBorder="1" applyAlignment="1">
      <alignment horizontal="right"/>
    </xf>
    <xf numFmtId="4" fontId="0" fillId="0" borderId="3" xfId="0" applyNumberFormat="1" applyBorder="1" applyAlignment="1">
      <alignment/>
    </xf>
    <xf numFmtId="0" fontId="3" fillId="0" borderId="4" xfId="0" applyFont="1" applyBorder="1" applyAlignment="1">
      <alignment/>
    </xf>
    <xf numFmtId="0" fontId="3" fillId="0" borderId="3" xfId="0" applyFont="1" applyBorder="1" applyAlignment="1">
      <alignment/>
    </xf>
    <xf numFmtId="0" fontId="0" fillId="0" borderId="3" xfId="0" applyBorder="1" applyAlignment="1">
      <alignment/>
    </xf>
    <xf numFmtId="2" fontId="0" fillId="0" borderId="5" xfId="0" applyNumberFormat="1" applyBorder="1" applyAlignment="1">
      <alignment/>
    </xf>
    <xf numFmtId="0" fontId="0" fillId="0" borderId="6" xfId="0" applyBorder="1" applyAlignment="1">
      <alignment/>
    </xf>
    <xf numFmtId="169" fontId="0" fillId="2" borderId="0" xfId="0" applyNumberFormat="1" applyFill="1" applyAlignment="1">
      <alignment/>
    </xf>
    <xf numFmtId="0" fontId="0" fillId="2" borderId="0" xfId="0" applyFill="1" applyAlignment="1">
      <alignment/>
    </xf>
    <xf numFmtId="170" fontId="0" fillId="2" borderId="0" xfId="0" applyNumberFormat="1" applyFill="1" applyAlignment="1">
      <alignment/>
    </xf>
    <xf numFmtId="171" fontId="0" fillId="0" borderId="0" xfId="0" applyNumberFormat="1" applyAlignment="1">
      <alignment/>
    </xf>
    <xf numFmtId="0" fontId="0" fillId="2" borderId="7" xfId="0" applyFill="1" applyBorder="1" applyAlignment="1">
      <alignment/>
    </xf>
    <xf numFmtId="0" fontId="0" fillId="0" borderId="0" xfId="0" applyAlignment="1">
      <alignment horizontal="right"/>
    </xf>
    <xf numFmtId="172" fontId="0" fillId="0" borderId="0" xfId="0" applyNumberFormat="1" applyAlignment="1">
      <alignment/>
    </xf>
    <xf numFmtId="170" fontId="0" fillId="0" borderId="0" xfId="0" applyNumberFormat="1" applyAlignment="1">
      <alignment/>
    </xf>
    <xf numFmtId="173" fontId="0" fillId="0" borderId="7" xfId="0" applyNumberFormat="1" applyBorder="1" applyAlignment="1">
      <alignment/>
    </xf>
    <xf numFmtId="4" fontId="0" fillId="0" borderId="0" xfId="0" applyNumberFormat="1" applyAlignment="1">
      <alignment/>
    </xf>
    <xf numFmtId="174" fontId="0" fillId="0" borderId="0" xfId="0" applyNumberFormat="1" applyAlignment="1">
      <alignment/>
    </xf>
    <xf numFmtId="175" fontId="0" fillId="0" borderId="7" xfId="0" applyNumberFormat="1" applyBorder="1" applyAlignment="1">
      <alignment/>
    </xf>
    <xf numFmtId="169" fontId="3" fillId="0" borderId="0" xfId="0" applyNumberFormat="1" applyFont="1" applyAlignment="1">
      <alignment/>
    </xf>
    <xf numFmtId="2" fontId="0" fillId="2" borderId="0" xfId="0" applyNumberFormat="1" applyFill="1" applyAlignment="1">
      <alignment/>
    </xf>
    <xf numFmtId="169" fontId="3" fillId="2" borderId="7" xfId="0" applyNumberFormat="1" applyFont="1" applyFill="1" applyBorder="1" applyAlignment="1">
      <alignment/>
    </xf>
    <xf numFmtId="0" fontId="0" fillId="0" borderId="8" xfId="0" applyBorder="1" applyAlignment="1">
      <alignment/>
    </xf>
    <xf numFmtId="171" fontId="0" fillId="0" borderId="9" xfId="0" applyNumberFormat="1" applyBorder="1" applyAlignment="1">
      <alignment/>
    </xf>
    <xf numFmtId="176" fontId="0" fillId="0" borderId="3" xfId="0" applyNumberFormat="1" applyBorder="1" applyAlignment="1">
      <alignment/>
    </xf>
    <xf numFmtId="0" fontId="0" fillId="0" borderId="5" xfId="0" applyBorder="1" applyAlignment="1">
      <alignment/>
    </xf>
    <xf numFmtId="0" fontId="3" fillId="0" borderId="10" xfId="0" applyFont="1" applyBorder="1" applyAlignment="1">
      <alignment/>
    </xf>
    <xf numFmtId="0" fontId="0" fillId="0" borderId="4" xfId="0" applyBorder="1" applyAlignment="1">
      <alignment/>
    </xf>
    <xf numFmtId="4" fontId="3" fillId="0" borderId="3" xfId="0" applyNumberFormat="1" applyFont="1" applyBorder="1" applyAlignment="1">
      <alignment/>
    </xf>
    <xf numFmtId="0" fontId="7" fillId="0" borderId="6" xfId="0" applyFont="1" applyBorder="1" applyAlignment="1">
      <alignment/>
    </xf>
    <xf numFmtId="0" fontId="7" fillId="0" borderId="0" xfId="0" applyFont="1" applyAlignment="1">
      <alignment horizontal="center"/>
    </xf>
    <xf numFmtId="0" fontId="7" fillId="0" borderId="0" xfId="0" applyFont="1" applyAlignment="1">
      <alignment/>
    </xf>
    <xf numFmtId="0" fontId="7" fillId="0" borderId="7" xfId="0" applyFont="1" applyBorder="1" applyAlignment="1">
      <alignment/>
    </xf>
    <xf numFmtId="0" fontId="7" fillId="0" borderId="10" xfId="0" applyFont="1" applyBorder="1" applyAlignment="1">
      <alignment/>
    </xf>
    <xf numFmtId="4" fontId="0" fillId="2" borderId="0" xfId="0" applyNumberFormat="1" applyFill="1" applyAlignment="1">
      <alignment horizontal="right"/>
    </xf>
    <xf numFmtId="1" fontId="0" fillId="2" borderId="0" xfId="0" applyNumberFormat="1" applyFill="1" applyAlignment="1">
      <alignment/>
    </xf>
    <xf numFmtId="177" fontId="0" fillId="0" borderId="0" xfId="0" applyNumberFormat="1" applyAlignment="1">
      <alignment/>
    </xf>
    <xf numFmtId="176" fontId="0" fillId="0" borderId="0" xfId="0" applyNumberFormat="1" applyAlignment="1">
      <alignment/>
    </xf>
    <xf numFmtId="176" fontId="0" fillId="0" borderId="7" xfId="0" applyNumberFormat="1" applyBorder="1" applyAlignment="1">
      <alignment/>
    </xf>
    <xf numFmtId="0" fontId="0" fillId="2" borderId="7" xfId="0" applyFill="1" applyBorder="1" applyAlignment="1">
      <alignment horizontal="left"/>
    </xf>
    <xf numFmtId="4" fontId="0" fillId="2" borderId="0" xfId="0" applyNumberFormat="1" applyFill="1" applyAlignment="1">
      <alignment/>
    </xf>
    <xf numFmtId="169" fontId="0" fillId="0" borderId="0" xfId="0" applyNumberFormat="1" applyAlignment="1">
      <alignment/>
    </xf>
    <xf numFmtId="0" fontId="0" fillId="0" borderId="11" xfId="0" applyBorder="1" applyAlignment="1">
      <alignment/>
    </xf>
    <xf numFmtId="0" fontId="0" fillId="2" borderId="3" xfId="0" applyFill="1" applyBorder="1" applyAlignment="1">
      <alignment/>
    </xf>
    <xf numFmtId="1" fontId="0" fillId="0" borderId="0" xfId="0" applyNumberFormat="1" applyAlignment="1">
      <alignment/>
    </xf>
    <xf numFmtId="178" fontId="0" fillId="0" borderId="7" xfId="0" applyNumberFormat="1" applyBorder="1" applyAlignment="1">
      <alignment horizontal="left"/>
    </xf>
    <xf numFmtId="178" fontId="7" fillId="0" borderId="0" xfId="0" applyNumberFormat="1" applyFont="1" applyAlignment="1">
      <alignment horizontal="left"/>
    </xf>
    <xf numFmtId="178" fontId="7" fillId="0" borderId="10" xfId="0" applyNumberFormat="1" applyFont="1" applyBorder="1" applyAlignment="1">
      <alignment horizontal="left"/>
    </xf>
    <xf numFmtId="1" fontId="0" fillId="0" borderId="8" xfId="0" applyNumberFormat="1" applyBorder="1" applyAlignment="1">
      <alignment/>
    </xf>
    <xf numFmtId="178" fontId="0" fillId="0" borderId="9" xfId="0" applyNumberFormat="1" applyBorder="1" applyAlignment="1">
      <alignment horizontal="left"/>
    </xf>
    <xf numFmtId="179" fontId="0" fillId="0" borderId="0" xfId="0" applyNumberFormat="1" applyAlignment="1">
      <alignment/>
    </xf>
    <xf numFmtId="0" fontId="7" fillId="0" borderId="12" xfId="0" applyFont="1" applyBorder="1" applyAlignment="1">
      <alignment/>
    </xf>
    <xf numFmtId="167" fontId="0" fillId="0" borderId="0" xfId="0" applyNumberFormat="1" applyAlignment="1">
      <alignment/>
    </xf>
    <xf numFmtId="0" fontId="0" fillId="0" borderId="13" xfId="0" applyBorder="1" applyAlignment="1">
      <alignment/>
    </xf>
    <xf numFmtId="4" fontId="0" fillId="0" borderId="8" xfId="0" applyNumberFormat="1" applyBorder="1" applyAlignment="1">
      <alignment/>
    </xf>
    <xf numFmtId="180" fontId="0" fillId="0" borderId="0" xfId="0" applyNumberFormat="1" applyAlignment="1">
      <alignment/>
    </xf>
    <xf numFmtId="169" fontId="0" fillId="0" borderId="7" xfId="0" applyNumberFormat="1" applyBorder="1" applyAlignment="1">
      <alignment/>
    </xf>
    <xf numFmtId="170" fontId="3" fillId="0" borderId="0" xfId="0" applyNumberFormat="1" applyFont="1" applyAlignment="1">
      <alignment/>
    </xf>
    <xf numFmtId="169" fontId="0" fillId="0" borderId="8" xfId="0" applyNumberFormat="1" applyBorder="1" applyAlignment="1">
      <alignment/>
    </xf>
    <xf numFmtId="176" fontId="0" fillId="0" borderId="8" xfId="0" applyNumberFormat="1" applyBorder="1" applyAlignment="1">
      <alignment/>
    </xf>
    <xf numFmtId="176" fontId="0" fillId="0" borderId="9" xfId="0" applyNumberFormat="1" applyBorder="1" applyAlignment="1">
      <alignment/>
    </xf>
    <xf numFmtId="169" fontId="0" fillId="0" borderId="14" xfId="0" applyNumberFormat="1" applyBorder="1" applyAlignment="1">
      <alignment/>
    </xf>
    <xf numFmtId="169" fontId="0" fillId="0" borderId="15" xfId="0" applyNumberFormat="1" applyBorder="1" applyAlignment="1">
      <alignment/>
    </xf>
    <xf numFmtId="0" fontId="0" fillId="0" borderId="16" xfId="0" applyBorder="1" applyAlignment="1">
      <alignment/>
    </xf>
    <xf numFmtId="0" fontId="0" fillId="0" borderId="7" xfId="0" applyBorder="1" applyAlignment="1">
      <alignment/>
    </xf>
    <xf numFmtId="2" fontId="0" fillId="0" borderId="0" xfId="0" applyNumberFormat="1" applyAlignment="1">
      <alignment/>
    </xf>
    <xf numFmtId="172" fontId="0" fillId="0" borderId="7" xfId="0" applyNumberFormat="1" applyBorder="1" applyAlignment="1">
      <alignment/>
    </xf>
    <xf numFmtId="174" fontId="0" fillId="0" borderId="8" xfId="0" applyNumberFormat="1" applyBorder="1" applyAlignment="1">
      <alignment/>
    </xf>
    <xf numFmtId="0" fontId="0" fillId="0" borderId="9" xfId="0" applyBorder="1" applyAlignment="1">
      <alignment/>
    </xf>
    <xf numFmtId="0" fontId="0" fillId="0" borderId="17" xfId="0" applyBorder="1" applyAlignment="1">
      <alignment/>
    </xf>
    <xf numFmtId="0" fontId="0" fillId="0" borderId="17" xfId="0" applyBorder="1" applyAlignment="1">
      <alignment horizontal="right"/>
    </xf>
    <xf numFmtId="167" fontId="0" fillId="0" borderId="17" xfId="0" applyNumberFormat="1" applyBorder="1" applyAlignment="1">
      <alignment/>
    </xf>
    <xf numFmtId="4" fontId="0" fillId="0" borderId="17" xfId="0" applyNumberFormat="1" applyBorder="1" applyAlignment="1">
      <alignment/>
    </xf>
    <xf numFmtId="167" fontId="0" fillId="0" borderId="17" xfId="0" applyNumberFormat="1" applyBorder="1" applyAlignment="1">
      <alignment horizontal="right"/>
    </xf>
    <xf numFmtId="0" fontId="0" fillId="2" borderId="17" xfId="0" applyFill="1" applyBorder="1" applyAlignment="1">
      <alignment/>
    </xf>
    <xf numFmtId="0" fontId="0" fillId="2" borderId="18" xfId="0" applyFill="1" applyBorder="1" applyAlignment="1">
      <alignment/>
    </xf>
    <xf numFmtId="0" fontId="0" fillId="0" borderId="19" xfId="0" applyBorder="1" applyAlignment="1">
      <alignment/>
    </xf>
    <xf numFmtId="0" fontId="0" fillId="0" borderId="12" xfId="0" applyBorder="1" applyAlignment="1">
      <alignment/>
    </xf>
    <xf numFmtId="170" fontId="0" fillId="0" borderId="12" xfId="0" applyNumberFormat="1" applyBorder="1" applyAlignment="1">
      <alignment/>
    </xf>
    <xf numFmtId="169" fontId="0" fillId="0" borderId="12" xfId="0" applyNumberFormat="1" applyBorder="1" applyAlignment="1">
      <alignment/>
    </xf>
    <xf numFmtId="0" fontId="3" fillId="0" borderId="0" xfId="0" applyFont="1" applyAlignment="1">
      <alignment horizontal="center"/>
    </xf>
    <xf numFmtId="18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P39"/>
  <sheetViews>
    <sheetView tabSelected="1" workbookViewId="0" topLeftCell="A1">
      <selection activeCell="C18" sqref="C18"/>
    </sheetView>
  </sheetViews>
  <sheetFormatPr defaultColWidth="9.7109375" defaultRowHeight="12.75"/>
  <cols>
    <col min="1" max="1" width="11.421875" style="0" customWidth="1"/>
    <col min="2" max="2" width="7.57421875" style="0" customWidth="1"/>
    <col min="3" max="3" width="7.00390625" style="0" customWidth="1"/>
    <col min="4" max="4" width="8.28125" style="0" customWidth="1"/>
    <col min="5" max="5" width="7.7109375" style="0" customWidth="1"/>
    <col min="6" max="6" width="7.8515625" style="0" customWidth="1"/>
    <col min="7" max="7" width="7.421875" style="0" customWidth="1"/>
    <col min="8" max="8" width="7.28125" style="0" customWidth="1"/>
    <col min="9" max="10" width="7.421875" style="0" customWidth="1"/>
    <col min="11" max="11" width="6.7109375" style="0" customWidth="1"/>
    <col min="12" max="12" width="6.8515625" style="0" customWidth="1"/>
    <col min="13" max="14" width="6.7109375" style="0" customWidth="1"/>
    <col min="15" max="15" width="7.140625" style="0" customWidth="1"/>
    <col min="16" max="16" width="8.7109375" style="0" customWidth="1"/>
    <col min="17" max="17" width="12.57421875" style="0" customWidth="1"/>
  </cols>
  <sheetData>
    <row r="1" spans="1:16" ht="21" thickBot="1">
      <c r="A1" s="2">
        <f ca="1">YEAR(TODAY())</f>
        <v>2009</v>
      </c>
      <c r="B1" s="3">
        <f ca="1">TODAY()</f>
        <v>40029</v>
      </c>
      <c r="C1" s="90" t="s">
        <v>117</v>
      </c>
      <c r="F1" s="4" t="s">
        <v>0</v>
      </c>
      <c r="G1" s="5"/>
      <c r="K1" s="6" t="s">
        <v>1</v>
      </c>
      <c r="N1" s="8" t="s">
        <v>118</v>
      </c>
      <c r="O1" s="8"/>
      <c r="P1" s="8"/>
    </row>
    <row r="2" spans="1:16" ht="12.75">
      <c r="A2" s="9" t="s">
        <v>2</v>
      </c>
      <c r="B2" s="10" t="s">
        <v>3</v>
      </c>
      <c r="C2" s="11">
        <f>C3/3.6</f>
        <v>56.57599576228316</v>
      </c>
      <c r="D2" s="12" t="s">
        <v>4</v>
      </c>
      <c r="E2" s="13"/>
      <c r="F2" s="14"/>
      <c r="G2" s="12" t="s">
        <v>5</v>
      </c>
      <c r="H2" s="13"/>
      <c r="I2" s="14"/>
      <c r="J2" s="12" t="s">
        <v>6</v>
      </c>
      <c r="K2" s="13"/>
      <c r="L2" s="13"/>
      <c r="M2" s="12" t="s">
        <v>7</v>
      </c>
      <c r="N2" s="13"/>
      <c r="O2" s="10" t="s">
        <v>3</v>
      </c>
      <c r="P2" s="15">
        <f>P8/3.6</f>
        <v>340.2956739366517</v>
      </c>
    </row>
    <row r="3" spans="1:16" ht="12.75">
      <c r="A3" s="16" t="s">
        <v>8</v>
      </c>
      <c r="C3" s="17">
        <v>203.6735847442194</v>
      </c>
      <c r="D3" s="16" t="s">
        <v>9</v>
      </c>
      <c r="F3" s="18">
        <v>25000</v>
      </c>
      <c r="G3" s="16" t="s">
        <v>10</v>
      </c>
      <c r="I3" s="19">
        <v>0.668</v>
      </c>
      <c r="J3" s="16" t="s">
        <v>11</v>
      </c>
      <c r="L3" s="20">
        <f>L4/P5*1000</f>
        <v>949.4491935745966</v>
      </c>
      <c r="M3" s="16" t="s">
        <v>12</v>
      </c>
      <c r="P3" s="21">
        <v>15</v>
      </c>
    </row>
    <row r="4" spans="1:16" ht="12.75">
      <c r="A4" s="16" t="s">
        <v>13</v>
      </c>
      <c r="C4" s="18">
        <v>2.5</v>
      </c>
      <c r="D4" s="16"/>
      <c r="E4" s="22" t="s">
        <v>14</v>
      </c>
      <c r="F4" s="23">
        <f>F7/745.69987</f>
        <v>0.8295994352352105</v>
      </c>
      <c r="G4" s="16" t="s">
        <v>15</v>
      </c>
      <c r="I4" s="18">
        <v>1.1</v>
      </c>
      <c r="J4" s="16" t="s">
        <v>16</v>
      </c>
      <c r="L4">
        <f>10.51*I8/C13</f>
        <v>1.1630756772966702</v>
      </c>
      <c r="M4" s="16" t="s">
        <v>17</v>
      </c>
      <c r="P4" s="21">
        <v>101.325</v>
      </c>
    </row>
    <row r="5" spans="1:16" ht="14.25">
      <c r="A5" s="16" t="s">
        <v>18</v>
      </c>
      <c r="C5" s="18">
        <v>1.5</v>
      </c>
      <c r="D5" s="16" t="s">
        <v>19</v>
      </c>
      <c r="F5" s="24">
        <f>F7/F3*9.55</f>
        <v>0.23631749696466253</v>
      </c>
      <c r="G5" s="16" t="s">
        <v>20</v>
      </c>
      <c r="I5" s="19">
        <v>0.342</v>
      </c>
      <c r="J5" s="16" t="s">
        <v>21</v>
      </c>
      <c r="L5" s="24">
        <f>L3/F3*60</f>
        <v>2.2786780645790317</v>
      </c>
      <c r="M5" s="16" t="s">
        <v>111</v>
      </c>
      <c r="O5" t="s">
        <v>112</v>
      </c>
      <c r="P5" s="25">
        <f>P4*3.48368/(P3+273.15)</f>
        <v>1.2250004372722543</v>
      </c>
    </row>
    <row r="6" spans="1:16" ht="12.75">
      <c r="A6" s="16" t="s">
        <v>22</v>
      </c>
      <c r="C6" s="18">
        <v>0.3</v>
      </c>
      <c r="D6" s="16" t="s">
        <v>23</v>
      </c>
      <c r="F6" s="26">
        <f>C14/C15*100</f>
        <v>19.31945030295563</v>
      </c>
      <c r="G6" s="16" t="s">
        <v>24</v>
      </c>
      <c r="I6" s="27">
        <f>C9/F11/J9*10000</f>
        <v>0.03224350705636136</v>
      </c>
      <c r="J6" s="16" t="s">
        <v>25</v>
      </c>
      <c r="L6" s="24">
        <f>L4/F3*60000</f>
        <v>2.7913816255120083</v>
      </c>
      <c r="M6" s="16" t="s">
        <v>26</v>
      </c>
      <c r="P6" s="28">
        <f>0.000001458*(P3+273.15)^1.5/(P3+383.55)</f>
        <v>1.789380278077583E-05</v>
      </c>
    </row>
    <row r="7" spans="1:16" ht="12.75">
      <c r="A7" s="16" t="s">
        <v>27</v>
      </c>
      <c r="C7" s="18">
        <v>-0.3</v>
      </c>
      <c r="D7" s="16" t="s">
        <v>28</v>
      </c>
      <c r="F7" s="29">
        <f>C8/0.8</f>
        <v>618.63219100697</v>
      </c>
      <c r="G7" s="16" t="s">
        <v>29</v>
      </c>
      <c r="I7" s="24">
        <f>I6*5.515</f>
        <v>0.17782294141583288</v>
      </c>
      <c r="J7" s="16" t="s">
        <v>30</v>
      </c>
      <c r="L7" s="30">
        <v>4.51</v>
      </c>
      <c r="M7" s="16" t="s">
        <v>31</v>
      </c>
      <c r="P7" s="28">
        <f>P6/P5</f>
        <v>1.4607180729355907E-05</v>
      </c>
    </row>
    <row r="8" spans="1:16" ht="13.5" thickBot="1">
      <c r="A8" s="16" t="s">
        <v>32</v>
      </c>
      <c r="C8" s="29">
        <f>J23*C2</f>
        <v>494.90575280557596</v>
      </c>
      <c r="D8" s="16" t="s">
        <v>33</v>
      </c>
      <c r="F8" s="31">
        <v>618.63219100697</v>
      </c>
      <c r="G8" s="16" t="s">
        <v>34</v>
      </c>
      <c r="I8" s="18">
        <v>6.85</v>
      </c>
      <c r="J8" s="16" t="s">
        <v>35</v>
      </c>
      <c r="L8" s="20">
        <f>L3/PI()/L7/L7*4</f>
        <v>59.43315219571618</v>
      </c>
      <c r="M8" s="16" t="s">
        <v>36</v>
      </c>
      <c r="O8" s="32"/>
      <c r="P8" s="33">
        <f>3.6*SQRT(401.878*(P3+273.15))</f>
        <v>1225.0644261719463</v>
      </c>
    </row>
    <row r="9" spans="1:16" ht="13.5" thickBot="1">
      <c r="A9" s="16" t="s">
        <v>37</v>
      </c>
      <c r="C9" s="26">
        <f>I5*9.806*C23/SQRT(C23^2+(C4-C5)^2)+F22*(C4-C5)/C23</f>
        <v>7.648888044675855</v>
      </c>
      <c r="D9" s="12" t="s">
        <v>38</v>
      </c>
      <c r="E9" s="13"/>
      <c r="F9" s="14"/>
      <c r="G9" s="14" t="s">
        <v>39</v>
      </c>
      <c r="H9" s="14"/>
      <c r="I9" s="14"/>
      <c r="J9" s="34">
        <f>P5*C2*C2*0.5</f>
        <v>1960.517218922485</v>
      </c>
      <c r="K9" s="14"/>
      <c r="L9" s="14"/>
      <c r="M9" s="14" t="s">
        <v>40</v>
      </c>
      <c r="N9" s="35"/>
      <c r="O9" s="1" t="s">
        <v>41</v>
      </c>
      <c r="P9" s="36"/>
    </row>
    <row r="10" spans="1:16" ht="15.75">
      <c r="A10" s="37" t="s">
        <v>42</v>
      </c>
      <c r="B10" s="14"/>
      <c r="C10" s="38">
        <f>C23*20*PI()/C2</f>
        <v>17.999769570046787</v>
      </c>
      <c r="D10" s="39" t="s">
        <v>43</v>
      </c>
      <c r="F10" s="40" t="s">
        <v>114</v>
      </c>
      <c r="G10" s="40" t="s">
        <v>115</v>
      </c>
      <c r="H10" s="40" t="s">
        <v>44</v>
      </c>
      <c r="I10" s="40" t="s">
        <v>116</v>
      </c>
      <c r="J10" s="40" t="s">
        <v>45</v>
      </c>
      <c r="K10" s="40" t="s">
        <v>46</v>
      </c>
      <c r="L10" s="40" t="s">
        <v>47</v>
      </c>
      <c r="M10" s="41" t="s">
        <v>48</v>
      </c>
      <c r="N10" s="42" t="s">
        <v>49</v>
      </c>
      <c r="O10" s="41" t="s">
        <v>50</v>
      </c>
      <c r="P10" s="43"/>
    </row>
    <row r="11" spans="1:16" ht="12.75">
      <c r="A11" s="16" t="s">
        <v>51</v>
      </c>
      <c r="C11" s="44">
        <v>18</v>
      </c>
      <c r="D11" s="16" t="s">
        <v>52</v>
      </c>
      <c r="F11" s="45">
        <v>1210</v>
      </c>
      <c r="G11" s="91">
        <v>0.00577</v>
      </c>
      <c r="H11" s="18">
        <v>1</v>
      </c>
      <c r="I11" s="24">
        <f aca="true" t="shared" si="0" ref="I11:I18">F11*G11*H11</f>
        <v>6.9817</v>
      </c>
      <c r="J11" s="24">
        <f aca="true" t="shared" si="1" ref="J11:J19">I11*$J$9*0.0001</f>
        <v>1.3687743067351115</v>
      </c>
      <c r="K11" s="18">
        <v>0.2</v>
      </c>
      <c r="L11" s="46">
        <f aca="true" t="shared" si="2" ref="L11:L18">$C$2*K11/$P$7</f>
        <v>774632.6523992813</v>
      </c>
      <c r="M11" s="47">
        <f aca="true" t="shared" si="3" ref="M11:M23">J11/J$23*100</f>
        <v>15.647377089146508</v>
      </c>
      <c r="N11" s="48">
        <f aca="true" t="shared" si="4" ref="N11:N21">J11/J$21*100</f>
        <v>18.352775958560404</v>
      </c>
      <c r="P11" s="49">
        <v>3.5</v>
      </c>
    </row>
    <row r="12" spans="1:16" ht="12.75">
      <c r="A12" s="16" t="s">
        <v>53</v>
      </c>
      <c r="C12" s="18">
        <v>33</v>
      </c>
      <c r="D12" s="16" t="s">
        <v>54</v>
      </c>
      <c r="F12" s="45">
        <v>0</v>
      </c>
      <c r="G12" s="18">
        <v>0.006</v>
      </c>
      <c r="H12" s="18">
        <v>1.1</v>
      </c>
      <c r="I12" s="24">
        <f t="shared" si="0"/>
        <v>0</v>
      </c>
      <c r="J12" s="24">
        <f t="shared" si="1"/>
        <v>0</v>
      </c>
      <c r="K12" s="18">
        <v>0.08</v>
      </c>
      <c r="L12" s="46">
        <f t="shared" si="2"/>
        <v>309853.0609597124</v>
      </c>
      <c r="M12" s="47">
        <f t="shared" si="3"/>
        <v>0</v>
      </c>
      <c r="N12" s="48">
        <f t="shared" si="4"/>
        <v>0</v>
      </c>
      <c r="O12" s="41" t="s">
        <v>55</v>
      </c>
      <c r="P12" s="43"/>
    </row>
    <row r="13" spans="1:16" ht="12.75">
      <c r="A13" s="16" t="s">
        <v>56</v>
      </c>
      <c r="C13" s="26">
        <f>C10*C12/10+2.5</f>
        <v>61.89923958115439</v>
      </c>
      <c r="D13" s="16" t="s">
        <v>57</v>
      </c>
      <c r="F13" s="50">
        <v>40</v>
      </c>
      <c r="G13" s="18">
        <v>0.05</v>
      </c>
      <c r="H13" s="18">
        <v>1.3</v>
      </c>
      <c r="I13" s="24">
        <f t="shared" si="0"/>
        <v>2.6</v>
      </c>
      <c r="J13" s="24">
        <f t="shared" si="1"/>
        <v>0.5097344769198461</v>
      </c>
      <c r="K13" s="18">
        <v>0.35</v>
      </c>
      <c r="L13" s="46">
        <f t="shared" si="2"/>
        <v>1355607.141698742</v>
      </c>
      <c r="M13" s="47">
        <f t="shared" si="3"/>
        <v>5.827116666683031</v>
      </c>
      <c r="N13" s="48">
        <f t="shared" si="4"/>
        <v>6.834612987131649</v>
      </c>
      <c r="P13" s="49">
        <v>8</v>
      </c>
    </row>
    <row r="14" spans="1:16" ht="12.75">
      <c r="A14" s="16" t="s">
        <v>58</v>
      </c>
      <c r="C14" s="26">
        <f>F7*C13/1000</f>
        <v>38.2928622037549</v>
      </c>
      <c r="D14" s="16" t="s">
        <v>59</v>
      </c>
      <c r="F14" s="50">
        <f>0.2*4.5</f>
        <v>0.9</v>
      </c>
      <c r="G14" s="18">
        <v>0.2</v>
      </c>
      <c r="H14" s="18">
        <v>1.3</v>
      </c>
      <c r="I14" s="24">
        <f t="shared" si="0"/>
        <v>0.23400000000000004</v>
      </c>
      <c r="J14" s="24">
        <f t="shared" si="1"/>
        <v>0.04587610292278616</v>
      </c>
      <c r="K14" s="18">
        <v>0.01</v>
      </c>
      <c r="L14" s="46">
        <f t="shared" si="2"/>
        <v>38731.63261996405</v>
      </c>
      <c r="M14" s="47">
        <f t="shared" si="3"/>
        <v>0.5244405000014729</v>
      </c>
      <c r="N14" s="48">
        <f t="shared" si="4"/>
        <v>0.6151151688418487</v>
      </c>
      <c r="O14" s="41" t="s">
        <v>60</v>
      </c>
      <c r="P14" s="43"/>
    </row>
    <row r="15" spans="1:16" ht="13.5" thickBot="1">
      <c r="A15" s="16" t="s">
        <v>61</v>
      </c>
      <c r="C15" s="51">
        <f>I8*(35.5*0.58+26.08*0.32)</f>
        <v>198.20886</v>
      </c>
      <c r="D15" s="16" t="s">
        <v>62</v>
      </c>
      <c r="F15" s="50">
        <v>1.04</v>
      </c>
      <c r="G15" s="18">
        <v>0.5</v>
      </c>
      <c r="H15" s="18">
        <v>1.3</v>
      </c>
      <c r="I15" s="24">
        <f t="shared" si="0"/>
        <v>0.676</v>
      </c>
      <c r="J15" s="24">
        <f t="shared" si="1"/>
        <v>0.13253096399915998</v>
      </c>
      <c r="K15" s="18">
        <v>0.026</v>
      </c>
      <c r="L15" s="46">
        <f t="shared" si="2"/>
        <v>100702.24481190655</v>
      </c>
      <c r="M15" s="47">
        <f t="shared" si="3"/>
        <v>1.5150503333375878</v>
      </c>
      <c r="N15" s="48">
        <f t="shared" si="4"/>
        <v>1.776999376654229</v>
      </c>
      <c r="O15" s="41" t="s">
        <v>63</v>
      </c>
      <c r="P15" s="43"/>
    </row>
    <row r="16" spans="1:16" ht="12.75">
      <c r="A16" s="12" t="s">
        <v>64</v>
      </c>
      <c r="B16" s="52" t="s">
        <v>65</v>
      </c>
      <c r="C16" s="53">
        <v>1</v>
      </c>
      <c r="D16" s="16" t="s">
        <v>66</v>
      </c>
      <c r="F16" s="50">
        <v>2</v>
      </c>
      <c r="G16" s="18">
        <v>0.2</v>
      </c>
      <c r="H16" s="18">
        <v>1.3</v>
      </c>
      <c r="I16" s="24">
        <f t="shared" si="0"/>
        <v>0.52</v>
      </c>
      <c r="J16" s="24">
        <f t="shared" si="1"/>
        <v>0.10194689538396923</v>
      </c>
      <c r="K16" s="18">
        <v>0.015</v>
      </c>
      <c r="L16" s="46">
        <f t="shared" si="2"/>
        <v>58097.448929946084</v>
      </c>
      <c r="M16" s="47">
        <f t="shared" si="3"/>
        <v>1.1654233333366062</v>
      </c>
      <c r="N16" s="48">
        <f t="shared" si="4"/>
        <v>1.36692259742633</v>
      </c>
      <c r="O16" s="54">
        <f>INT((10*C10+P11+(INT(100/C12)-1)*P13)/60)</f>
        <v>3</v>
      </c>
      <c r="P16" s="55">
        <f>10*C10+P11+(INT(100/C12)-1)*P13-O16*60</f>
        <v>19.497695700467887</v>
      </c>
    </row>
    <row r="17" spans="1:16" ht="12.75">
      <c r="A17" s="16" t="s">
        <v>67</v>
      </c>
      <c r="C17" s="18">
        <v>15.92</v>
      </c>
      <c r="D17" s="16" t="s">
        <v>68</v>
      </c>
      <c r="F17" s="50">
        <v>1</v>
      </c>
      <c r="G17" s="18">
        <v>0.5</v>
      </c>
      <c r="H17" s="18">
        <v>1</v>
      </c>
      <c r="I17" s="24">
        <f t="shared" si="0"/>
        <v>0.5</v>
      </c>
      <c r="J17" s="24">
        <f t="shared" si="1"/>
        <v>0.09802586094612425</v>
      </c>
      <c r="K17" s="18">
        <v>0.01</v>
      </c>
      <c r="L17" s="46">
        <f t="shared" si="2"/>
        <v>38731.63261996405</v>
      </c>
      <c r="M17" s="47">
        <f t="shared" si="3"/>
        <v>1.1205993589775058</v>
      </c>
      <c r="N17" s="48">
        <f t="shared" si="4"/>
        <v>1.3143486513714713</v>
      </c>
      <c r="O17" s="56" t="s">
        <v>69</v>
      </c>
      <c r="P17" s="57"/>
    </row>
    <row r="18" spans="1:16" ht="13.5" thickBot="1">
      <c r="A18" s="16" t="s">
        <v>70</v>
      </c>
      <c r="C18" s="19">
        <v>0.35</v>
      </c>
      <c r="D18" s="16" t="s">
        <v>71</v>
      </c>
      <c r="F18" s="50">
        <f>0.3*1.2</f>
        <v>0.36</v>
      </c>
      <c r="G18" s="18">
        <v>0.5</v>
      </c>
      <c r="H18" s="18">
        <v>1.3</v>
      </c>
      <c r="I18" s="24">
        <f t="shared" si="0"/>
        <v>0.23399999999999999</v>
      </c>
      <c r="J18" s="24">
        <f t="shared" si="1"/>
        <v>0.04587610292278615</v>
      </c>
      <c r="K18" s="18">
        <v>0.003</v>
      </c>
      <c r="L18" s="46">
        <f t="shared" si="2"/>
        <v>11619.489785989217</v>
      </c>
      <c r="M18" s="47">
        <f t="shared" si="3"/>
        <v>0.5244405000014728</v>
      </c>
      <c r="N18" s="48">
        <f t="shared" si="4"/>
        <v>0.6151151688418485</v>
      </c>
      <c r="O18" s="58">
        <f>INT((20*C10+P11+(INT(200/C12)-1)*P13)/60)</f>
        <v>6</v>
      </c>
      <c r="P18" s="59">
        <f>20*C10+P11+(INT(200/C12)-1)*P13-O18*60</f>
        <v>43.49539140093577</v>
      </c>
    </row>
    <row r="19" spans="1:16" ht="12.75">
      <c r="A19" s="16" t="s">
        <v>72</v>
      </c>
      <c r="C19" s="18">
        <v>0.99</v>
      </c>
      <c r="D19" s="16" t="s">
        <v>73</v>
      </c>
      <c r="E19" t="s">
        <v>74</v>
      </c>
      <c r="F19" s="54">
        <f>F11</f>
        <v>1210</v>
      </c>
      <c r="G19" s="60">
        <f>I4*I6*I6/3.14159/I3/I3*F11*0.0001</f>
        <v>9.870977696177543E-05</v>
      </c>
      <c r="I19" s="24">
        <f>F19*G19</f>
        <v>0.11943883012374827</v>
      </c>
      <c r="J19" s="24">
        <f t="shared" si="1"/>
        <v>0.02341618830655661</v>
      </c>
      <c r="K19" s="61"/>
      <c r="L19" s="62"/>
      <c r="M19" s="47">
        <f t="shared" si="3"/>
        <v>0.26768615294739107</v>
      </c>
      <c r="N19" s="48">
        <f t="shared" si="4"/>
        <v>0.3139685305890696</v>
      </c>
      <c r="O19" s="7" t="s">
        <v>75</v>
      </c>
      <c r="P19" s="7"/>
    </row>
    <row r="20" spans="1:16" ht="13.5" thickBot="1">
      <c r="A20" s="16" t="s">
        <v>76</v>
      </c>
      <c r="C20" s="51">
        <f>2*F21*C17*7800000</f>
        <v>23.8942423902</v>
      </c>
      <c r="D20" s="63" t="s">
        <v>77</v>
      </c>
      <c r="E20" s="32"/>
      <c r="F20" s="64">
        <f>C18*(C17+C6-I3/2)*C19*5</f>
        <v>27.522494999999996</v>
      </c>
      <c r="G20" s="24">
        <f>10.75*(L20+65)^(-0.34)+0.00000455*L20^1.4-0.0062*(L20*0.001)^2.4+0.43*(L20*0.0001)^5</f>
        <v>1.012355263640888</v>
      </c>
      <c r="I20" s="24">
        <f>F20*G20</f>
        <v>27.862542681780013</v>
      </c>
      <c r="J20" s="24">
        <f>I20*P5*(C2*(C17+C6-I3*0.5)/(C17+C6))^2*0.5*(C17+C6-I3*0.5)/(C17+C6)*0.0001</f>
        <v>5.131951374745602</v>
      </c>
      <c r="K20">
        <f>C18*0.001</f>
        <v>0.00035</v>
      </c>
      <c r="L20" s="65">
        <f>$C$2*($C$17-$I$3*0.5)/$C$17*K20/$P$7</f>
        <v>1327.1666401078264</v>
      </c>
      <c r="M20" s="47">
        <f t="shared" si="3"/>
        <v>58.66677798427465</v>
      </c>
      <c r="N20" s="48">
        <f t="shared" si="4"/>
        <v>68.81014156058315</v>
      </c>
      <c r="O20" s="41" t="s">
        <v>78</v>
      </c>
      <c r="P20" s="41"/>
    </row>
    <row r="21" spans="1:16" ht="14.25">
      <c r="A21" s="16" t="s">
        <v>79</v>
      </c>
      <c r="C21" s="26">
        <f>(ATAN(J20/F22)-ATAN(C7/C17))*57.29578</f>
        <v>5.289480217244866</v>
      </c>
      <c r="D21" t="s">
        <v>113</v>
      </c>
      <c r="F21">
        <f>IF(C16&gt;4,(C18/3)^2*C16,IF(C16&gt;2,(C18/2)^2*C16,C18^2*C16))*0.00000314159/4</f>
        <v>9.621119374999999E-08</v>
      </c>
      <c r="G21" s="86" t="s">
        <v>80</v>
      </c>
      <c r="H21" s="87"/>
      <c r="I21" s="87"/>
      <c r="J21" s="88">
        <f>SUM(J11:J20)</f>
        <v>7.458132272881942</v>
      </c>
      <c r="K21" s="89">
        <f>J21*C$2</f>
        <v>421.95125986511607</v>
      </c>
      <c r="L21" s="87" t="s">
        <v>81</v>
      </c>
      <c r="M21" s="47">
        <f t="shared" si="3"/>
        <v>85.25891191870623</v>
      </c>
      <c r="N21" s="48">
        <f t="shared" si="4"/>
        <v>100</v>
      </c>
      <c r="O21" s="50">
        <v>19.31945030295563</v>
      </c>
      <c r="P21" t="s">
        <v>82</v>
      </c>
    </row>
    <row r="22" spans="1:16" ht="12.75">
      <c r="A22" s="16" t="s">
        <v>83</v>
      </c>
      <c r="C22" s="51">
        <f>(1-COS(C21*PI()/180)/3-COS(C21*PI()/540)*2/3)*330*C17</f>
        <v>9.115448760992365</v>
      </c>
      <c r="D22" t="s">
        <v>84</v>
      </c>
      <c r="F22" s="26">
        <f>(I5+C20*0.0005)*C2*C2/(C17+C6+0.03)</f>
        <v>69.71872431942424</v>
      </c>
      <c r="G22" s="16" t="s">
        <v>85</v>
      </c>
      <c r="J22" s="24">
        <f>-F22*C7/(C17+C6)</f>
        <v>1.2894955176219034</v>
      </c>
      <c r="K22" s="51">
        <f>J22*C$2</f>
        <v>72.95449294045994</v>
      </c>
      <c r="L22" t="s">
        <v>81</v>
      </c>
      <c r="M22" s="47">
        <f t="shared" si="3"/>
        <v>14.741088081293766</v>
      </c>
      <c r="N22" s="48"/>
      <c r="O22" s="41" t="s">
        <v>86</v>
      </c>
      <c r="P22" s="41" t="s">
        <v>87</v>
      </c>
    </row>
    <row r="23" spans="1:16" ht="13.5" thickBot="1">
      <c r="A23" s="16" t="s">
        <v>88</v>
      </c>
      <c r="C23" s="24">
        <f>SQRT(((F23-C22)*0.001+C17)^2-(C4-C5)^2)+C6</f>
        <v>16.20762140746351</v>
      </c>
      <c r="D23" t="s">
        <v>89</v>
      </c>
      <c r="F23" s="66">
        <f>C17/F21*F22/410000000</f>
        <v>28.137339805354216</v>
      </c>
      <c r="G23" s="63" t="s">
        <v>90</v>
      </c>
      <c r="H23" s="32"/>
      <c r="I23" t="s">
        <v>91</v>
      </c>
      <c r="J23" s="67">
        <f>SUM(J21:J22)</f>
        <v>8.747627790503845</v>
      </c>
      <c r="K23" s="68">
        <f>J23*C$2</f>
        <v>494.90575280557596</v>
      </c>
      <c r="L23" s="32" t="s">
        <v>81</v>
      </c>
      <c r="M23" s="69">
        <f t="shared" si="3"/>
        <v>100</v>
      </c>
      <c r="N23" s="70"/>
      <c r="O23" s="26">
        <f>F6-O21</f>
        <v>0</v>
      </c>
      <c r="P23" s="26">
        <f>C10-C11</f>
        <v>-0.00023042995321276294</v>
      </c>
    </row>
    <row r="24" spans="1:15" ht="12.75">
      <c r="A24" s="12" t="s">
        <v>92</v>
      </c>
      <c r="B24" s="13"/>
      <c r="C24" s="79"/>
      <c r="D24" s="79"/>
      <c r="E24" s="80" t="s">
        <v>93</v>
      </c>
      <c r="F24" s="81">
        <f>C3/60/F3*1000000</f>
        <v>135.7823898294796</v>
      </c>
      <c r="G24" s="80" t="s">
        <v>94</v>
      </c>
      <c r="H24" s="82">
        <f>F24/25.4</f>
        <v>5.345763379113371</v>
      </c>
      <c r="I24" s="79"/>
      <c r="J24" s="83" t="s">
        <v>95</v>
      </c>
      <c r="K24" s="84">
        <v>155</v>
      </c>
      <c r="L24" s="79"/>
      <c r="M24" s="80" t="s">
        <v>96</v>
      </c>
      <c r="N24" s="85">
        <v>2</v>
      </c>
      <c r="O24" s="41" t="s">
        <v>97</v>
      </c>
    </row>
    <row r="25" spans="1:16" ht="12.75">
      <c r="A25" s="16" t="s">
        <v>98</v>
      </c>
      <c r="C25" s="71">
        <f>(0.5*$K$24)/11</f>
        <v>7.045454545454546</v>
      </c>
      <c r="D25" s="72">
        <f aca="true" t="shared" si="5" ref="D25:M25">C25+0.5*$K$24/11</f>
        <v>14.090909090909092</v>
      </c>
      <c r="E25" s="72">
        <f t="shared" si="5"/>
        <v>21.136363636363637</v>
      </c>
      <c r="F25" s="72">
        <f t="shared" si="5"/>
        <v>28.181818181818183</v>
      </c>
      <c r="G25" s="72">
        <f t="shared" si="5"/>
        <v>35.22727272727273</v>
      </c>
      <c r="H25" s="72">
        <f t="shared" si="5"/>
        <v>42.27272727272727</v>
      </c>
      <c r="I25" s="72">
        <f t="shared" si="5"/>
        <v>49.31818181818182</v>
      </c>
      <c r="J25" s="72">
        <f t="shared" si="5"/>
        <v>56.36363636363637</v>
      </c>
      <c r="K25" s="72">
        <f t="shared" si="5"/>
        <v>63.409090909090914</v>
      </c>
      <c r="L25" s="72">
        <f t="shared" si="5"/>
        <v>70.45454545454545</v>
      </c>
      <c r="M25" s="72">
        <f t="shared" si="5"/>
        <v>77.5</v>
      </c>
      <c r="N25" s="73"/>
      <c r="O25" s="24">
        <f>F7-F8</f>
        <v>0</v>
      </c>
      <c r="P25" s="27"/>
    </row>
    <row r="26" spans="1:14" ht="12.75">
      <c r="A26" s="16" t="s">
        <v>99</v>
      </c>
      <c r="C26" s="62">
        <f aca="true" t="shared" si="6" ref="C26:M26">SQRT((C25*$F$3*0.0001047197)^2+($C$2)^2)*3.6</f>
        <v>214.22448380998418</v>
      </c>
      <c r="D26" s="62">
        <f t="shared" si="6"/>
        <v>243.14549242569674</v>
      </c>
      <c r="E26" s="62">
        <f t="shared" si="6"/>
        <v>284.8960024156216</v>
      </c>
      <c r="F26" s="62">
        <f t="shared" si="6"/>
        <v>334.709029725904</v>
      </c>
      <c r="G26" s="62">
        <f t="shared" si="6"/>
        <v>389.5034501129575</v>
      </c>
      <c r="H26" s="62">
        <f t="shared" si="6"/>
        <v>447.45294881353203</v>
      </c>
      <c r="I26" s="62">
        <f t="shared" si="6"/>
        <v>507.4778279256546</v>
      </c>
      <c r="J26" s="62">
        <f t="shared" si="6"/>
        <v>568.9215683664509</v>
      </c>
      <c r="K26" s="62">
        <f t="shared" si="6"/>
        <v>631.3700632363964</v>
      </c>
      <c r="L26" s="62">
        <f t="shared" si="6"/>
        <v>694.5523473662058</v>
      </c>
      <c r="M26" s="62">
        <f t="shared" si="6"/>
        <v>758.2850192341065</v>
      </c>
      <c r="N26" s="74"/>
    </row>
    <row r="27" spans="1:14" ht="12.75">
      <c r="A27" s="16" t="s">
        <v>100</v>
      </c>
      <c r="C27" s="75">
        <f aca="true" t="shared" si="7" ref="C27:M27">C26/$P8</f>
        <v>0.17486793284773441</v>
      </c>
      <c r="D27" s="75">
        <f t="shared" si="7"/>
        <v>0.1984756778755484</v>
      </c>
      <c r="E27" s="75">
        <f t="shared" si="7"/>
        <v>0.2325559344710206</v>
      </c>
      <c r="F27" s="75">
        <f t="shared" si="7"/>
        <v>0.27321749172963516</v>
      </c>
      <c r="G27" s="75">
        <f t="shared" si="7"/>
        <v>0.31794527846185944</v>
      </c>
      <c r="H27" s="75">
        <f t="shared" si="7"/>
        <v>0.3652485038780556</v>
      </c>
      <c r="I27" s="75">
        <f t="shared" si="7"/>
        <v>0.4142458282879129</v>
      </c>
      <c r="J27" s="75">
        <f t="shared" si="7"/>
        <v>0.46440134593100885</v>
      </c>
      <c r="K27" s="75">
        <f t="shared" si="7"/>
        <v>0.5153770281366241</v>
      </c>
      <c r="L27" s="75">
        <f t="shared" si="7"/>
        <v>0.5669516904809059</v>
      </c>
      <c r="M27" s="75">
        <f t="shared" si="7"/>
        <v>0.6189756253094202</v>
      </c>
      <c r="N27" s="74"/>
    </row>
    <row r="28" spans="1:14" ht="12.75">
      <c r="A28" s="16" t="s">
        <v>101</v>
      </c>
      <c r="C28" s="18">
        <v>9</v>
      </c>
      <c r="D28" s="18">
        <v>10</v>
      </c>
      <c r="E28" s="18">
        <v>11</v>
      </c>
      <c r="F28" s="18">
        <v>12</v>
      </c>
      <c r="G28" s="18">
        <v>12</v>
      </c>
      <c r="H28" s="18">
        <v>12</v>
      </c>
      <c r="I28" s="18">
        <v>12</v>
      </c>
      <c r="J28" s="18">
        <v>10.72</v>
      </c>
      <c r="K28" s="18">
        <v>9.67</v>
      </c>
      <c r="L28" s="18">
        <v>8.8</v>
      </c>
      <c r="M28" s="18">
        <v>8.06</v>
      </c>
      <c r="N28" s="74"/>
    </row>
    <row r="29" spans="1:14" ht="12.75">
      <c r="A29" s="16" t="s">
        <v>102</v>
      </c>
      <c r="C29" s="18">
        <v>0.85</v>
      </c>
      <c r="D29" s="18">
        <v>0.85</v>
      </c>
      <c r="E29" s="18">
        <v>0.85</v>
      </c>
      <c r="F29" s="18">
        <v>0.85</v>
      </c>
      <c r="G29" s="18">
        <v>0.85</v>
      </c>
      <c r="H29" s="18">
        <v>0.85</v>
      </c>
      <c r="I29" s="18">
        <v>0.85</v>
      </c>
      <c r="J29" s="18">
        <v>0.85</v>
      </c>
      <c r="K29" s="18">
        <v>0.85</v>
      </c>
      <c r="L29" s="18">
        <v>0.85</v>
      </c>
      <c r="M29" s="18">
        <v>0.85</v>
      </c>
      <c r="N29" s="74"/>
    </row>
    <row r="30" spans="1:14" ht="12.75">
      <c r="A30" s="16" t="s">
        <v>103</v>
      </c>
      <c r="B30" t="s">
        <v>104</v>
      </c>
      <c r="C30" s="54">
        <f aca="true" t="shared" si="8" ref="C30:M30">C26/3600*C28/$P$7*0.001</f>
        <v>36.664242022325936</v>
      </c>
      <c r="D30" s="54">
        <f t="shared" si="8"/>
        <v>46.23781673828286</v>
      </c>
      <c r="E30" s="54">
        <f t="shared" si="8"/>
        <v>59.59504294946902</v>
      </c>
      <c r="F30" s="54">
        <f t="shared" si="8"/>
        <v>76.38002065044684</v>
      </c>
      <c r="G30" s="54">
        <f t="shared" si="8"/>
        <v>88.88401244331753</v>
      </c>
      <c r="H30" s="54">
        <f t="shared" si="8"/>
        <v>102.10798764069288</v>
      </c>
      <c r="I30" s="54">
        <f t="shared" si="8"/>
        <v>115.80556105207933</v>
      </c>
      <c r="J30" s="54">
        <f t="shared" si="8"/>
        <v>115.97871176985154</v>
      </c>
      <c r="K30" s="54">
        <f t="shared" si="8"/>
        <v>116.10249599184564</v>
      </c>
      <c r="L30" s="54">
        <f t="shared" si="8"/>
        <v>116.23013765299206</v>
      </c>
      <c r="M30" s="54">
        <f t="shared" si="8"/>
        <v>116.22474833642988</v>
      </c>
      <c r="N30" s="74"/>
    </row>
    <row r="31" spans="1:14" ht="12.75">
      <c r="A31" s="16" t="s">
        <v>105</v>
      </c>
      <c r="C31" s="51">
        <f aca="true" t="shared" si="9" ref="C31:M31">ASIN($C$3/C26)*57.29578</f>
        <v>71.94295879853698</v>
      </c>
      <c r="D31" s="51">
        <f t="shared" si="9"/>
        <v>56.89398362172898</v>
      </c>
      <c r="E31" s="51">
        <f t="shared" si="9"/>
        <v>45.63541683703949</v>
      </c>
      <c r="F31" s="51">
        <f t="shared" si="9"/>
        <v>37.48179974642766</v>
      </c>
      <c r="G31" s="51">
        <f t="shared" si="9"/>
        <v>31.527364794924583</v>
      </c>
      <c r="H31" s="51">
        <f t="shared" si="9"/>
        <v>27.07679721945357</v>
      </c>
      <c r="I31" s="51">
        <f t="shared" si="9"/>
        <v>23.662275254312846</v>
      </c>
      <c r="J31" s="51">
        <f t="shared" si="9"/>
        <v>20.97738373483664</v>
      </c>
      <c r="K31" s="51">
        <f t="shared" si="9"/>
        <v>18.819621744899813</v>
      </c>
      <c r="L31" s="51">
        <f t="shared" si="9"/>
        <v>17.052293731989373</v>
      </c>
      <c r="M31" s="51">
        <f t="shared" si="9"/>
        <v>15.580836848114249</v>
      </c>
      <c r="N31" s="74"/>
    </row>
    <row r="32" spans="1:14" ht="12.75">
      <c r="A32" s="16" t="s">
        <v>106</v>
      </c>
      <c r="C32" s="51">
        <f aca="true" t="shared" si="10" ref="C32:M32">C31+3</f>
        <v>74.94295879853698</v>
      </c>
      <c r="D32" s="51">
        <f t="shared" si="10"/>
        <v>59.89398362172898</v>
      </c>
      <c r="E32" s="51">
        <f t="shared" si="10"/>
        <v>48.63541683703949</v>
      </c>
      <c r="F32" s="51">
        <f t="shared" si="10"/>
        <v>40.48179974642766</v>
      </c>
      <c r="G32" s="51">
        <f t="shared" si="10"/>
        <v>34.52736479492458</v>
      </c>
      <c r="H32" s="51">
        <f t="shared" si="10"/>
        <v>30.07679721945357</v>
      </c>
      <c r="I32" s="51">
        <f t="shared" si="10"/>
        <v>26.662275254312846</v>
      </c>
      <c r="J32" s="51">
        <f t="shared" si="10"/>
        <v>23.97738373483664</v>
      </c>
      <c r="K32" s="51">
        <f t="shared" si="10"/>
        <v>21.819621744899813</v>
      </c>
      <c r="L32" s="51">
        <f t="shared" si="10"/>
        <v>20.052293731989373</v>
      </c>
      <c r="M32" s="51">
        <f t="shared" si="10"/>
        <v>18.58083684811425</v>
      </c>
      <c r="N32" s="74"/>
    </row>
    <row r="33" spans="1:14" ht="12.75">
      <c r="A33" s="16" t="s">
        <v>107</v>
      </c>
      <c r="C33" s="20">
        <f aca="true" t="shared" si="11" ref="C33:M33">TAN(C32*PI()/180)*2*PI()*C25</f>
        <v>164.5545700797414</v>
      </c>
      <c r="D33" s="20">
        <f t="shared" si="11"/>
        <v>152.69530089523548</v>
      </c>
      <c r="E33" s="20">
        <f t="shared" si="11"/>
        <v>150.82405737224505</v>
      </c>
      <c r="F33" s="20">
        <f t="shared" si="11"/>
        <v>151.1361703116691</v>
      </c>
      <c r="G33" s="20">
        <f t="shared" si="11"/>
        <v>152.27810986526376</v>
      </c>
      <c r="H33" s="20">
        <f t="shared" si="11"/>
        <v>153.82354048638092</v>
      </c>
      <c r="I33" s="20">
        <f t="shared" si="11"/>
        <v>155.59547300097114</v>
      </c>
      <c r="J33" s="20">
        <f t="shared" si="11"/>
        <v>157.5072274733391</v>
      </c>
      <c r="K33" s="20">
        <f t="shared" si="11"/>
        <v>159.51134898622817</v>
      </c>
      <c r="L33" s="20">
        <f t="shared" si="11"/>
        <v>161.5796747097061</v>
      </c>
      <c r="M33" s="20">
        <f t="shared" si="11"/>
        <v>163.6944347211507</v>
      </c>
      <c r="N33" s="74"/>
    </row>
    <row r="34" spans="1:14" ht="12.75">
      <c r="A34" s="16" t="s">
        <v>94</v>
      </c>
      <c r="C34" s="75">
        <f aca="true" t="shared" si="12" ref="C34:M34">C33/25.4</f>
        <v>6.478526381092182</v>
      </c>
      <c r="D34" s="75">
        <f t="shared" si="12"/>
        <v>6.01162601949746</v>
      </c>
      <c r="E34" s="75">
        <f t="shared" si="12"/>
        <v>5.9379550146553175</v>
      </c>
      <c r="F34" s="75">
        <f t="shared" si="12"/>
        <v>5.950242925656264</v>
      </c>
      <c r="G34" s="75">
        <f t="shared" si="12"/>
        <v>5.995201175797786</v>
      </c>
      <c r="H34" s="75">
        <f t="shared" si="12"/>
        <v>6.05604490103862</v>
      </c>
      <c r="I34" s="75">
        <f t="shared" si="12"/>
        <v>6.125806023660282</v>
      </c>
      <c r="J34" s="75">
        <f t="shared" si="12"/>
        <v>6.201071947769257</v>
      </c>
      <c r="K34" s="75">
        <f t="shared" si="12"/>
        <v>6.279974369536543</v>
      </c>
      <c r="L34" s="75">
        <f t="shared" si="12"/>
        <v>6.361404516130162</v>
      </c>
      <c r="M34" s="75">
        <f t="shared" si="12"/>
        <v>6.444662784297273</v>
      </c>
      <c r="N34" s="74" t="s">
        <v>108</v>
      </c>
    </row>
    <row r="35" spans="1:14" ht="12.75">
      <c r="A35" s="16" t="s">
        <v>37</v>
      </c>
      <c r="C35" s="24">
        <f aca="true" t="shared" si="13" ref="C35:M35">$P$5*C26*C26*0.0000000385802*C29*C28*(0.5*$K$24-$C$25)/10*COS(ASIN($C$3/C26))</f>
        <v>0.03623432639876699</v>
      </c>
      <c r="D35" s="24">
        <f t="shared" si="13"/>
        <v>0.09139128760066095</v>
      </c>
      <c r="E35" s="24">
        <f t="shared" si="13"/>
        <v>0.17668873967158683</v>
      </c>
      <c r="F35" s="24">
        <f t="shared" si="13"/>
        <v>0.3019376314292925</v>
      </c>
      <c r="G35" s="24">
        <f t="shared" si="13"/>
        <v>0.43920890503369564</v>
      </c>
      <c r="H35" s="24">
        <f t="shared" si="13"/>
        <v>0.6054641713047623</v>
      </c>
      <c r="I35" s="24">
        <f t="shared" si="13"/>
        <v>0.8011335804457007</v>
      </c>
      <c r="J35" s="24">
        <f t="shared" si="13"/>
        <v>0.9169501979652768</v>
      </c>
      <c r="K35" s="24">
        <f t="shared" si="13"/>
        <v>1.032669967546728</v>
      </c>
      <c r="L35" s="24">
        <f t="shared" si="13"/>
        <v>1.148672524725212</v>
      </c>
      <c r="M35" s="24">
        <f t="shared" si="13"/>
        <v>1.2634811898469331</v>
      </c>
      <c r="N35" s="76">
        <f>SUM(C35:K35)*N24</f>
        <v>8.80335761479294</v>
      </c>
    </row>
    <row r="36" spans="1:14" ht="13.5" thickBot="1">
      <c r="A36" s="63" t="s">
        <v>19</v>
      </c>
      <c r="B36" s="32"/>
      <c r="C36" s="77">
        <f aca="true" t="shared" si="14" ref="C36:M36">$P$5*C26*0.0000000000385802*C29*C28*(0.5*$K$24-$C$25)/10*$C$3*C25</f>
        <v>0.0007830400953348142</v>
      </c>
      <c r="D36" s="77">
        <f t="shared" si="14"/>
        <v>0.001975006842076361</v>
      </c>
      <c r="E36" s="77">
        <f t="shared" si="14"/>
        <v>0.00381832315673282</v>
      </c>
      <c r="F36" s="77">
        <f t="shared" si="14"/>
        <v>0.006525008057210808</v>
      </c>
      <c r="G36" s="77">
        <f t="shared" si="14"/>
        <v>0.009491502038276808</v>
      </c>
      <c r="H36" s="77">
        <f t="shared" si="14"/>
        <v>0.01308435314079491</v>
      </c>
      <c r="I36" s="77">
        <f t="shared" si="14"/>
        <v>0.017312857104181432</v>
      </c>
      <c r="J36" s="77">
        <f t="shared" si="14"/>
        <v>0.019815706314784406</v>
      </c>
      <c r="K36" s="77">
        <f t="shared" si="14"/>
        <v>0.022316462597872504</v>
      </c>
      <c r="L36" s="77">
        <f t="shared" si="14"/>
        <v>0.024823330048158926</v>
      </c>
      <c r="M36" s="77">
        <f t="shared" si="14"/>
        <v>0.027304396953965523</v>
      </c>
      <c r="N36" s="78">
        <f>SUM(C36:K36)*N24</f>
        <v>0.19024451869452974</v>
      </c>
    </row>
    <row r="37" ht="12.75">
      <c r="A37" s="16"/>
    </row>
    <row r="38" spans="1:13" ht="12.75">
      <c r="A38" s="16" t="s">
        <v>109</v>
      </c>
      <c r="C38">
        <f aca="true" t="shared" si="15" ref="C38:M38">C35/C25</f>
        <v>0.005142936650147572</v>
      </c>
      <c r="D38">
        <f t="shared" si="15"/>
        <v>0.006485833313595293</v>
      </c>
      <c r="E38">
        <f t="shared" si="15"/>
        <v>0.008359467253279377</v>
      </c>
      <c r="F38">
        <f t="shared" si="15"/>
        <v>0.010713915953942636</v>
      </c>
      <c r="G38">
        <f t="shared" si="15"/>
        <v>0.012467865691279102</v>
      </c>
      <c r="H38">
        <f t="shared" si="15"/>
        <v>0.014322808353445989</v>
      </c>
      <c r="I38">
        <f t="shared" si="15"/>
        <v>0.01624418319797734</v>
      </c>
      <c r="J38">
        <f t="shared" si="15"/>
        <v>0.016268471254222653</v>
      </c>
      <c r="K38">
        <f t="shared" si="15"/>
        <v>0.01628583461364015</v>
      </c>
      <c r="L38">
        <f t="shared" si="15"/>
        <v>0.016303739060615913</v>
      </c>
      <c r="M38">
        <f t="shared" si="15"/>
        <v>0.016302983094799137</v>
      </c>
    </row>
    <row r="39" spans="1:13" ht="12.75">
      <c r="A39" s="16" t="s">
        <v>110</v>
      </c>
      <c r="C39">
        <f aca="true" t="shared" si="16" ref="C39:M39">C36/C25*1000</f>
        <v>0.11114117482171557</v>
      </c>
      <c r="D39">
        <f t="shared" si="16"/>
        <v>0.14016177588929013</v>
      </c>
      <c r="E39">
        <f t="shared" si="16"/>
        <v>0.18065184827553127</v>
      </c>
      <c r="F39">
        <f t="shared" si="16"/>
        <v>0.2315325439655448</v>
      </c>
      <c r="G39">
        <f t="shared" si="16"/>
        <v>0.26943618689301907</v>
      </c>
      <c r="H39">
        <f t="shared" si="16"/>
        <v>0.30952233236289034</v>
      </c>
      <c r="I39">
        <f t="shared" si="16"/>
        <v>0.351044107181559</v>
      </c>
      <c r="J39">
        <f t="shared" si="16"/>
        <v>0.35156898300423944</v>
      </c>
      <c r="K39">
        <f t="shared" si="16"/>
        <v>0.3519442130130431</v>
      </c>
      <c r="L39">
        <f t="shared" si="16"/>
        <v>0.352331136167417</v>
      </c>
      <c r="M39">
        <f t="shared" si="16"/>
        <v>0.35231479940600674</v>
      </c>
    </row>
  </sheetData>
  <printOptions gridLines="1"/>
  <pageMargins left="0.79" right="0.79" top="0.79" bottom="0.39" header="0.39" footer="0.39"/>
  <pageSetup horizontalDpi="240" verticalDpi="24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Team Racing Calculator</dc:title>
  <dc:subject>F2C</dc:subject>
  <dc:creator>Göran Olsson</dc:creator>
  <cp:keywords/>
  <dc:description/>
  <cp:lastModifiedBy>go</cp:lastModifiedBy>
  <cp:lastPrinted>1997-05-04T16:33:19Z</cp:lastPrinted>
  <dcterms:created xsi:type="dcterms:W3CDTF">1997-05-05T19:27:20Z</dcterms:created>
  <dcterms:modified xsi:type="dcterms:W3CDTF">2009-08-04T14:25:09Z</dcterms:modified>
  <cp:category/>
  <cp:version/>
  <cp:contentType/>
  <cp:contentStatus/>
</cp:coreProperties>
</file>