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5" yWindow="82" windowWidth="9224" windowHeight="5502" tabRatio="797" firstSheet="1" activeTab="5"/>
  </bookViews>
  <sheets>
    <sheet name="1Round" sheetId="1" r:id="rId1"/>
    <sheet name="2Round" sheetId="2" r:id="rId2"/>
    <sheet name="3Round" sheetId="3" r:id="rId3"/>
    <sheet name="Semi-Finals" sheetId="4" r:id="rId4"/>
    <sheet name="RésF2CGeneral" sheetId="5" r:id="rId5"/>
    <sheet name="DosF2C" sheetId="6" r:id="rId6"/>
    <sheet name="TempsF2Ce" sheetId="7" r:id="rId7"/>
    <sheet name="RésF2CeInd" sheetId="8" r:id="rId8"/>
    <sheet name="Semi-Results" sheetId="9" r:id="rId9"/>
    <sheet name="RésF2CsInd" sheetId="10" r:id="rId10"/>
    <sheet name="RésF2CJun" sheetId="11" r:id="rId11"/>
    <sheet name="RésF2CTeam" sheetId="12" r:id="rId12"/>
    <sheet name="EntF2Ce-1" sheetId="13" r:id="rId13"/>
    <sheet name="EntF2Ce-2" sheetId="14" r:id="rId14"/>
    <sheet name="EntF2Ce-3" sheetId="15" r:id="rId15"/>
    <sheet name="EntF2Cs" sheetId="16" r:id="rId16"/>
    <sheet name="F2CeInd" sheetId="17" r:id="rId17"/>
    <sheet name="F2CsInd" sheetId="18" r:id="rId18"/>
  </sheets>
  <definedNames>
    <definedName name="_xlnm.Print_Area" localSheetId="0">'1Round'!$A$1:$J$72</definedName>
    <definedName name="_xlnm.Print_Area" localSheetId="1">'2Round'!$A$1:$J$72</definedName>
    <definedName name="_xlnm.Print_Area" localSheetId="2">'3Round'!$A$1:$J$72</definedName>
    <definedName name="_xlnm.Print_Area" localSheetId="5">'DosF2C'!$A$1:$E$67</definedName>
    <definedName name="_xlnm.Print_Area" localSheetId="12">'EntF2Ce-1'!$A$1:$E$59</definedName>
    <definedName name="_xlnm.Print_Area" localSheetId="13">'EntF2Ce-2'!$A$1:$E$69</definedName>
    <definedName name="_xlnm.Print_Area" localSheetId="14">'EntF2Ce-3'!$A$1:$E$69</definedName>
    <definedName name="_xlnm.Print_Area" localSheetId="15">'EntF2Cs'!$A$1:$E$51</definedName>
    <definedName name="_xlnm.Print_Area" localSheetId="7">'RésF2CeInd'!$A$1:$R$59</definedName>
    <definedName name="_xlnm.Print_Area" localSheetId="4">'RésF2CGeneral'!$A$1:$W$59</definedName>
    <definedName name="_xlnm.Print_Area" localSheetId="10">'RésF2CJun'!$A$1:$V$14</definedName>
    <definedName name="_xlnm.Print_Area" localSheetId="9">'RésF2CsInd'!$A$1:$N$25</definedName>
    <definedName name="_xlnm.Print_Area" localSheetId="11">'RésF2CTeam'!$A$1:$K$26</definedName>
    <definedName name="_xlnm.Print_Area" localSheetId="3">'Semi-Finals'!$A$1:$J$46</definedName>
    <definedName name="_xlnm.Print_Area" localSheetId="8">'Semi-Results'!$A$1:$N$25</definedName>
    <definedName name="_xlnm.Print_Area" localSheetId="6">'TempsF2Ce'!$A$1:$N$59</definedName>
  </definedNames>
  <calcPr fullCalcOnLoad="1"/>
</workbook>
</file>

<file path=xl/sharedStrings.xml><?xml version="1.0" encoding="utf-8"?>
<sst xmlns="http://schemas.openxmlformats.org/spreadsheetml/2006/main" count="1169" uniqueCount="307">
  <si>
    <t>F2C  -  TEAM-RACING</t>
  </si>
  <si>
    <t>Ne pas supprimer ou insérer des lignes</t>
  </si>
  <si>
    <t>²</t>
  </si>
  <si>
    <t>Nation</t>
  </si>
  <si>
    <t>N°</t>
  </si>
  <si>
    <t>NAME Surname</t>
  </si>
  <si>
    <t>ANDREEV S. / SOBKO S.</t>
  </si>
  <si>
    <t>W/CH</t>
  </si>
  <si>
    <t>RUS</t>
  </si>
  <si>
    <t>CAMERON P. / FITZGERALD R.</t>
  </si>
  <si>
    <t>AUS</t>
  </si>
  <si>
    <t>JUSTIC R. / OWEN R.</t>
  </si>
  <si>
    <t>WILSON G. / STEIN P.</t>
  </si>
  <si>
    <t>FISCHER J. / STRANIAK H.</t>
  </si>
  <si>
    <t>AUT</t>
  </si>
  <si>
    <t>NITSCHE H. / NITSCHE H.</t>
  </si>
  <si>
    <t xml:space="preserve">DESSAUCY L. / DESSAUCY J. </t>
  </si>
  <si>
    <t>BEL</t>
  </si>
  <si>
    <t xml:space="preserve">FAIREY R. / FAIREY B. </t>
  </si>
  <si>
    <t>CAN</t>
  </si>
  <si>
    <t>JAREBEK J. / PARENT K.</t>
  </si>
  <si>
    <t>BARRAGAN A. / BARRAGAN J.</t>
  </si>
  <si>
    <t>ESP</t>
  </si>
  <si>
    <t>CRESPI M. / CRESPI P.</t>
  </si>
  <si>
    <t xml:space="preserve">LOPEZ J. / DEL HOYO C. </t>
  </si>
  <si>
    <t>MARET J. / PERRET J.P.</t>
  </si>
  <si>
    <t>FRA</t>
  </si>
  <si>
    <t>DELOR B. / CONSTANT P.</t>
  </si>
  <si>
    <t>SURUGUE P. / SURUGUE G.</t>
  </si>
  <si>
    <t>BUCCI L. / PERRET C.</t>
  </si>
  <si>
    <t>Jun</t>
  </si>
  <si>
    <t>LINDEMANN R. / KIEL U.</t>
  </si>
  <si>
    <t>GER</t>
  </si>
  <si>
    <t>MARSCHALL H./ KUCKELKORN F.</t>
  </si>
  <si>
    <t>ROSS M. / TURNER B.</t>
  </si>
  <si>
    <t>GBR</t>
  </si>
  <si>
    <t>LANGWORTH B. / CAMPBELL D.</t>
  </si>
  <si>
    <t>SMITH S. / BROWN C.</t>
  </si>
  <si>
    <t>ORVOS F. / NAGY Z.</t>
  </si>
  <si>
    <t>HUN</t>
  </si>
  <si>
    <t>MOHAI I. / SZVACSEK F.</t>
  </si>
  <si>
    <t>PENNISI R. / ROSSI A.</t>
  </si>
  <si>
    <t>ITA</t>
  </si>
  <si>
    <t>MAGLI M./  PIRAZZINI E.</t>
  </si>
  <si>
    <t>MARTINI G. / MENOZZI M.</t>
  </si>
  <si>
    <t>VENDEL Micha / METKEMEIJER R.</t>
  </si>
  <si>
    <t>NED</t>
  </si>
  <si>
    <t>ZUCHOWSKI M. / DABROWSKI K.</t>
  </si>
  <si>
    <t>POL</t>
  </si>
  <si>
    <t>CONTENTE A. / SECO F.</t>
  </si>
  <si>
    <t>POR</t>
  </si>
  <si>
    <t>MORTINHO A. / GOULAO J.</t>
  </si>
  <si>
    <t>CHABACHOV J. / MOSKALEEV S.</t>
  </si>
  <si>
    <t>SURKOV O. / BALEZINE V.</t>
  </si>
  <si>
    <t>TITOV V. / JOUGOV V.</t>
  </si>
  <si>
    <t>USTINOV D. / ORESHKINE A.</t>
  </si>
  <si>
    <t>ABDHUL RAMAN N. / NAJIMUDEEN H.</t>
  </si>
  <si>
    <t>SIN</t>
  </si>
  <si>
    <t>ONG R. / SU D.</t>
  </si>
  <si>
    <t>SATHA S. / WEE C.</t>
  </si>
  <si>
    <t xml:space="preserve">LOH P. / CHING M. </t>
  </si>
  <si>
    <t>SAMUELSSON B. O. / AXTILIUS K.</t>
  </si>
  <si>
    <t>SWE</t>
  </si>
  <si>
    <t>GUSTAFSSON J. / BJÖHOLM S.</t>
  </si>
  <si>
    <t>BORER H. / SACCAVINO C.</t>
  </si>
  <si>
    <t>SUI</t>
  </si>
  <si>
    <t>MUELLER R. / SACCAVINO V.</t>
  </si>
  <si>
    <t>GIGER P. / STUDER H.</t>
  </si>
  <si>
    <t>BONDARENKO Y. / LERNER S.</t>
  </si>
  <si>
    <t>UKR</t>
  </si>
  <si>
    <t>BEZMERTNY Y. / FULITKA V.</t>
  </si>
  <si>
    <t>ZHURAVLYOV V. / SOSNOVSKIY V.</t>
  </si>
  <si>
    <t>ASCHER A. / ASCHER L.</t>
  </si>
  <si>
    <t>USA</t>
  </si>
  <si>
    <t>BALLARD J. / LAMBERT D.</t>
  </si>
  <si>
    <t>WILLOUGHBY S. / OGE B.</t>
  </si>
  <si>
    <t>RESULTS F2C - Qualifying flights</t>
  </si>
  <si>
    <t>Heat 1</t>
  </si>
  <si>
    <t>Heat 2</t>
  </si>
  <si>
    <t>Heat 3</t>
  </si>
  <si>
    <t>:</t>
  </si>
  <si>
    <t>DISQ</t>
  </si>
  <si>
    <t>F2C - TEAM-RACING</t>
  </si>
  <si>
    <t>Results for qualifying flights</t>
  </si>
  <si>
    <t xml:space="preserve">Place </t>
  </si>
  <si>
    <t>Result</t>
  </si>
  <si>
    <t>Meilleur vol</t>
  </si>
  <si>
    <t>Deuxième vol</t>
  </si>
  <si>
    <t>Moins bon vol</t>
  </si>
  <si>
    <t>Meilleur entre vols 1 et 2</t>
  </si>
  <si>
    <t>Moins bon entre vols 1 et 2</t>
  </si>
  <si>
    <t>RESULTS F2C - Semifinals &amp; final</t>
  </si>
  <si>
    <t>Nombre d'équipes ayant volé en demifinale</t>
  </si>
  <si>
    <t>Semi 1</t>
  </si>
  <si>
    <t>Semi 2</t>
  </si>
  <si>
    <t>Final</t>
  </si>
  <si>
    <t>Demi 1</t>
  </si>
  <si>
    <t>Demi 2</t>
  </si>
  <si>
    <t>Finale</t>
  </si>
  <si>
    <t>Results for semifinals and final</t>
  </si>
  <si>
    <t>Meilleure semi</t>
  </si>
  <si>
    <t>Moins bonne semi</t>
  </si>
  <si>
    <t xml:space="preserve">   Individual results</t>
  </si>
  <si>
    <t>Meilleure demi</t>
  </si>
  <si>
    <t>Rés. 1</t>
  </si>
  <si>
    <t>Rés. 2</t>
  </si>
  <si>
    <t>Rés. 3</t>
  </si>
  <si>
    <t xml:space="preserve">     Junior results</t>
  </si>
  <si>
    <t>Best</t>
  </si>
  <si>
    <t xml:space="preserve">   F2C - TEAM-RACING</t>
  </si>
  <si>
    <t>Team classification</t>
  </si>
  <si>
    <t>Team 1</t>
  </si>
  <si>
    <t>Team 2</t>
  </si>
  <si>
    <t>Team 3</t>
  </si>
  <si>
    <t>Junior team</t>
  </si>
  <si>
    <t>Team result</t>
  </si>
  <si>
    <t>Nombre de demifinalistes</t>
  </si>
  <si>
    <t>France</t>
  </si>
  <si>
    <t>Ukraine</t>
  </si>
  <si>
    <t>Italy</t>
  </si>
  <si>
    <t>Russia</t>
  </si>
  <si>
    <t>United-Kingdom</t>
  </si>
  <si>
    <t>Switzerland</t>
  </si>
  <si>
    <t>Spain</t>
  </si>
  <si>
    <t>Australia</t>
  </si>
  <si>
    <t>U.S.A.</t>
  </si>
  <si>
    <t>Singapour</t>
  </si>
  <si>
    <t>Austria</t>
  </si>
  <si>
    <t>Portugal</t>
  </si>
  <si>
    <t>Sweden</t>
  </si>
  <si>
    <t>Hungary</t>
  </si>
  <si>
    <t>Germany</t>
  </si>
  <si>
    <t>Canada</t>
  </si>
  <si>
    <t>Belgium</t>
  </si>
  <si>
    <t>Netherlands</t>
  </si>
  <si>
    <t>Poland</t>
  </si>
  <si>
    <t>Saturday 15th of July</t>
  </si>
  <si>
    <t>Draw for qualifying flight 1</t>
  </si>
  <si>
    <t>Red</t>
  </si>
  <si>
    <t>Blue</t>
  </si>
  <si>
    <t>White</t>
  </si>
  <si>
    <t xml:space="preserve">Délai entre deux bases </t>
  </si>
  <si>
    <t>Sunday 16th of July</t>
  </si>
  <si>
    <t>Draw for qualifying flight 2</t>
  </si>
  <si>
    <t>Monday 17th of July</t>
  </si>
  <si>
    <t>Draw for qualifying flight 3</t>
  </si>
  <si>
    <t>5 minutes for 2 teams</t>
  </si>
  <si>
    <t>Training for qualifying flight 1</t>
  </si>
  <si>
    <t>Training for qualifying flight 2</t>
  </si>
  <si>
    <t>Training for qualifying flight 3</t>
  </si>
  <si>
    <t xml:space="preserve"> </t>
  </si>
  <si>
    <t>Tuesday 18th of July</t>
  </si>
  <si>
    <t>Draw for semifinal 1</t>
  </si>
  <si>
    <t>Draw for semifinal 2</t>
  </si>
  <si>
    <t>Training for semifinal 1</t>
  </si>
  <si>
    <t>Reserve</t>
  </si>
  <si>
    <t>Training for semifinal 2</t>
  </si>
  <si>
    <t>W</t>
  </si>
  <si>
    <t>Reflight</t>
  </si>
  <si>
    <t>Disq</t>
  </si>
  <si>
    <t>B</t>
  </si>
  <si>
    <t>H</t>
  </si>
  <si>
    <t>BC</t>
  </si>
  <si>
    <t>3:21,3</t>
  </si>
  <si>
    <t>3:57,2</t>
  </si>
  <si>
    <t>66</t>
  </si>
  <si>
    <t>LO</t>
  </si>
  <si>
    <t>3:29,7</t>
  </si>
  <si>
    <t>3:37,3</t>
  </si>
  <si>
    <t>3:21,1</t>
  </si>
  <si>
    <t>26</t>
  </si>
  <si>
    <t>3:28,8</t>
  </si>
  <si>
    <t>3:17,7</t>
  </si>
  <si>
    <t>47</t>
  </si>
  <si>
    <t>31</t>
  </si>
  <si>
    <t>3:47,9</t>
  </si>
  <si>
    <t>3:27,0</t>
  </si>
  <si>
    <t>Disq Linepicking</t>
  </si>
  <si>
    <t>Foot OUT</t>
  </si>
  <si>
    <t>Run in</t>
  </si>
  <si>
    <t>19</t>
  </si>
  <si>
    <t>3:34,4</t>
  </si>
  <si>
    <t>PI</t>
  </si>
  <si>
    <t>36</t>
  </si>
  <si>
    <t>84</t>
  </si>
  <si>
    <t>4:07,1</t>
  </si>
  <si>
    <t>IHP</t>
  </si>
  <si>
    <t>3:51,3</t>
  </si>
  <si>
    <t>3:21,7</t>
  </si>
  <si>
    <t>33</t>
  </si>
  <si>
    <t>3:18,4</t>
  </si>
  <si>
    <t>3:24,6</t>
  </si>
  <si>
    <t>3:55,1</t>
  </si>
  <si>
    <t>3:19,7</t>
  </si>
  <si>
    <t>3:31,5</t>
  </si>
  <si>
    <t>67</t>
  </si>
  <si>
    <t>Disq Pilot inteference etc</t>
  </si>
  <si>
    <t>3:15</t>
  </si>
  <si>
    <t>4:30,4</t>
  </si>
  <si>
    <t>3:40,2</t>
  </si>
  <si>
    <t>77</t>
  </si>
  <si>
    <t>3:32,2</t>
  </si>
  <si>
    <t>NE</t>
  </si>
  <si>
    <t>Missed CATCH</t>
  </si>
  <si>
    <t>69</t>
  </si>
  <si>
    <t>4:10,3</t>
  </si>
  <si>
    <t>3:30,6</t>
  </si>
  <si>
    <t>3:59,5</t>
  </si>
  <si>
    <t>3:25,9</t>
  </si>
  <si>
    <t>3:24,7</t>
  </si>
  <si>
    <t>3:14,1</t>
  </si>
  <si>
    <t>3:46,3</t>
  </si>
  <si>
    <t>Underflying on cut.</t>
  </si>
  <si>
    <t>3:19,3</t>
  </si>
  <si>
    <t>3:27,6</t>
  </si>
  <si>
    <t>3:27,7</t>
  </si>
  <si>
    <t>3:16,6</t>
  </si>
  <si>
    <t>3:13,0</t>
  </si>
  <si>
    <t>3:12,4</t>
  </si>
  <si>
    <t>P</t>
  </si>
  <si>
    <t>3:31,8</t>
  </si>
  <si>
    <t>3:22,5</t>
  </si>
  <si>
    <t>3:30,7</t>
  </si>
  <si>
    <t>Did not fly</t>
  </si>
  <si>
    <t>Rescheduled</t>
  </si>
  <si>
    <t>0</t>
  </si>
  <si>
    <t>3:22,1</t>
  </si>
  <si>
    <t>3:35,6</t>
  </si>
  <si>
    <t>3:26,0</t>
  </si>
  <si>
    <t>3:14,9</t>
  </si>
  <si>
    <t>35</t>
  </si>
  <si>
    <t>3:13,5</t>
  </si>
  <si>
    <t>4:15,3</t>
  </si>
  <si>
    <t>4:09,2</t>
  </si>
  <si>
    <t>3:16,2</t>
  </si>
  <si>
    <t>3:37,8</t>
  </si>
  <si>
    <t>No start</t>
  </si>
  <si>
    <t>4:13,8</t>
  </si>
  <si>
    <t>3:47,2</t>
  </si>
  <si>
    <t>Start collision</t>
  </si>
  <si>
    <t>3:27,4</t>
  </si>
  <si>
    <t>74</t>
  </si>
  <si>
    <t>3:25,3</t>
  </si>
  <si>
    <t>3:43,2</t>
  </si>
  <si>
    <t>6</t>
  </si>
  <si>
    <t>Disq Linespickup</t>
  </si>
  <si>
    <t>Reflight Stop racing</t>
  </si>
  <si>
    <t>3:55,2</t>
  </si>
  <si>
    <t>3:34,6</t>
  </si>
  <si>
    <t>Disq Linepickup</t>
  </si>
  <si>
    <t>3:31,9</t>
  </si>
  <si>
    <t>3:16,7</t>
  </si>
  <si>
    <t>71</t>
  </si>
  <si>
    <t>3:17,5</t>
  </si>
  <si>
    <t>3:20,5</t>
  </si>
  <si>
    <t>3:44,5</t>
  </si>
  <si>
    <t>3:38</t>
  </si>
  <si>
    <t>3:38,4</t>
  </si>
  <si>
    <t>3:34,2</t>
  </si>
  <si>
    <t>4:09,7</t>
  </si>
  <si>
    <t>3:56,9</t>
  </si>
  <si>
    <t>TC</t>
  </si>
  <si>
    <t>4:04,9</t>
  </si>
  <si>
    <t>1</t>
  </si>
  <si>
    <t>3:27,2</t>
  </si>
  <si>
    <t>3:45,4</t>
  </si>
  <si>
    <t>3:24,4</t>
  </si>
  <si>
    <t>3:18</t>
  </si>
  <si>
    <t>4:15,5</t>
  </si>
  <si>
    <t>34</t>
  </si>
  <si>
    <t>3:26,8</t>
  </si>
  <si>
    <t>3:47,4</t>
  </si>
  <si>
    <t>4:14,0</t>
  </si>
  <si>
    <t>76</t>
  </si>
  <si>
    <t>3:22,0</t>
  </si>
  <si>
    <t>3:17,0</t>
  </si>
  <si>
    <t>3:56,8</t>
  </si>
  <si>
    <t>4:08,8</t>
  </si>
  <si>
    <t>No flight</t>
  </si>
  <si>
    <t>3:55,8</t>
  </si>
  <si>
    <t>3:55,0</t>
  </si>
  <si>
    <t>3:32,4</t>
  </si>
  <si>
    <t>56</t>
  </si>
  <si>
    <t>3:17,6</t>
  </si>
  <si>
    <t>3:53,8</t>
  </si>
  <si>
    <t>3:27,3</t>
  </si>
  <si>
    <t>4:45,2</t>
  </si>
  <si>
    <t>3:46,5</t>
  </si>
  <si>
    <t>3:38,9</t>
  </si>
  <si>
    <t>3:54,0</t>
  </si>
  <si>
    <t>4:45,1</t>
  </si>
  <si>
    <t>4:17,7</t>
  </si>
  <si>
    <t>3:12,2</t>
  </si>
  <si>
    <t>3:30,0</t>
  </si>
  <si>
    <t>4:05.0</t>
  </si>
  <si>
    <t>3:57,3</t>
  </si>
  <si>
    <t>3:26,5</t>
  </si>
  <si>
    <t>4:09,8</t>
  </si>
  <si>
    <t>3:20,4</t>
  </si>
  <si>
    <t>PII</t>
  </si>
  <si>
    <t>3:29,6</t>
  </si>
  <si>
    <t>22</t>
  </si>
  <si>
    <t>3:29,3</t>
  </si>
  <si>
    <t>3:12,9</t>
  </si>
  <si>
    <t>4:11,1</t>
  </si>
  <si>
    <t>3:28,6</t>
  </si>
  <si>
    <t>Disq Linespicking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</si>
</sst>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&quot;"/>
    <numFmt numFmtId="187" formatCode="&quot;C&quot;00"/>
    <numFmt numFmtId="188" formatCode="&quot; &quot;"/>
    <numFmt numFmtId="189" formatCode="&quot;Heat &quot;0"/>
    <numFmt numFmtId="190" formatCode="0.0&quot; km/h&quot;"/>
    <numFmt numFmtId="191" formatCode="00.0"/>
    <numFmt numFmtId="192" formatCode="0.0"/>
    <numFmt numFmtId="193" formatCode="#,#00.0"/>
    <numFmt numFmtId="194" formatCode="0&quot; laps&quot;"/>
    <numFmt numFmtId="195" formatCode="0&quot; lap&quot;"/>
    <numFmt numFmtId="196" formatCode="h:mm:ss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Geneva"/>
      <family val="0"/>
    </font>
    <font>
      <b/>
      <sz val="8"/>
      <name val="Geneva"/>
      <family val="0"/>
    </font>
    <font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MS Sans Serif"/>
      <family val="0"/>
    </font>
    <font>
      <sz val="8"/>
      <name val="Geneva"/>
      <family val="0"/>
    </font>
    <font>
      <b/>
      <sz val="12"/>
      <name val="Geneva"/>
      <family val="0"/>
    </font>
    <font>
      <b/>
      <i/>
      <sz val="12"/>
      <name val="Geneva"/>
      <family val="0"/>
    </font>
    <font>
      <sz val="12"/>
      <name val="Geneva"/>
      <family val="0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mediumGray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4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5" xfId="0" applyFon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6" fontId="0" fillId="0" borderId="2" xfId="0" applyNumberFormat="1" applyBorder="1" applyAlignment="1">
      <alignment horizontal="center"/>
    </xf>
    <xf numFmtId="186" fontId="0" fillId="0" borderId="3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186" fontId="6" fillId="0" borderId="5" xfId="0" applyNumberFormat="1" applyFont="1" applyBorder="1" applyAlignment="1">
      <alignment horizontal="center"/>
    </xf>
    <xf numFmtId="186" fontId="0" fillId="0" borderId="0" xfId="0" applyNumberFormat="1" applyAlignment="1">
      <alignment/>
    </xf>
    <xf numFmtId="187" fontId="0" fillId="0" borderId="0" xfId="0" applyNumberFormat="1" applyAlignment="1">
      <alignment horizontal="center"/>
    </xf>
    <xf numFmtId="187" fontId="0" fillId="0" borderId="0" xfId="0" applyNumberFormat="1" applyBorder="1" applyAlignment="1">
      <alignment/>
    </xf>
    <xf numFmtId="187" fontId="0" fillId="0" borderId="10" xfId="0" applyNumberFormat="1" applyBorder="1" applyAlignment="1">
      <alignment/>
    </xf>
    <xf numFmtId="187" fontId="5" fillId="0" borderId="11" xfId="0" applyNumberFormat="1" applyFont="1" applyBorder="1" applyAlignment="1">
      <alignment horizontal="center"/>
    </xf>
    <xf numFmtId="187" fontId="0" fillId="0" borderId="12" xfId="0" applyNumberFormat="1" applyBorder="1" applyAlignment="1">
      <alignment/>
    </xf>
    <xf numFmtId="187" fontId="6" fillId="0" borderId="12" xfId="0" applyNumberFormat="1" applyFont="1" applyBorder="1" applyAlignment="1">
      <alignment horizontal="center"/>
    </xf>
    <xf numFmtId="187" fontId="0" fillId="0" borderId="0" xfId="0" applyNumberFormat="1" applyAlignment="1">
      <alignment/>
    </xf>
    <xf numFmtId="0" fontId="6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7" fillId="0" borderId="0" xfId="0" applyFont="1" applyAlignment="1">
      <alignment horizontal="left"/>
    </xf>
    <xf numFmtId="20" fontId="6" fillId="0" borderId="0" xfId="0" applyNumberFormat="1" applyFont="1" applyBorder="1" applyAlignment="1">
      <alignment horizontal="center"/>
    </xf>
    <xf numFmtId="188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4" fillId="1" borderId="14" xfId="0" applyFont="1" applyFill="1" applyBorder="1" applyAlignment="1">
      <alignment horizontal="center"/>
    </xf>
    <xf numFmtId="188" fontId="4" fillId="0" borderId="0" xfId="0" applyNumberFormat="1" applyFont="1" applyBorder="1" applyAlignment="1">
      <alignment horizontal="center"/>
    </xf>
    <xf numFmtId="20" fontId="8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87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left"/>
    </xf>
    <xf numFmtId="188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87" fontId="4" fillId="0" borderId="0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189" fontId="4" fillId="0" borderId="10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87" fontId="0" fillId="0" borderId="16" xfId="0" applyNumberFormat="1" applyBorder="1" applyAlignment="1">
      <alignment horizontal="center"/>
    </xf>
    <xf numFmtId="188" fontId="6" fillId="0" borderId="16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90" fontId="0" fillId="0" borderId="0" xfId="0" applyNumberFormat="1" applyBorder="1" applyAlignment="1">
      <alignment horizontal="center"/>
    </xf>
    <xf numFmtId="0" fontId="6" fillId="0" borderId="17" xfId="0" applyFont="1" applyBorder="1" applyAlignment="1">
      <alignment horizontal="left"/>
    </xf>
    <xf numFmtId="20" fontId="7" fillId="0" borderId="11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87" fontId="0" fillId="0" borderId="18" xfId="0" applyNumberFormat="1" applyBorder="1" applyAlignment="1">
      <alignment horizontal="center"/>
    </xf>
    <xf numFmtId="0" fontId="6" fillId="0" borderId="18" xfId="0" applyFont="1" applyBorder="1" applyAlignment="1">
      <alignment horizontal="left"/>
    </xf>
    <xf numFmtId="188" fontId="6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0" fillId="0" borderId="12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187" fontId="0" fillId="0" borderId="20" xfId="0" applyNumberFormat="1" applyBorder="1" applyAlignment="1">
      <alignment horizontal="center"/>
    </xf>
    <xf numFmtId="0" fontId="6" fillId="0" borderId="12" xfId="0" applyFont="1" applyBorder="1" applyAlignment="1">
      <alignment horizontal="left"/>
    </xf>
    <xf numFmtId="2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187" fontId="7" fillId="0" borderId="0" xfId="0" applyNumberFormat="1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88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188" fontId="6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center"/>
    </xf>
    <xf numFmtId="188" fontId="6" fillId="0" borderId="25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0" fontId="7" fillId="0" borderId="10" xfId="0" applyNumberFormat="1" applyFont="1" applyBorder="1" applyAlignment="1">
      <alignment horizontal="center"/>
    </xf>
    <xf numFmtId="187" fontId="0" fillId="0" borderId="27" xfId="0" applyNumberFormat="1" applyBorder="1" applyAlignment="1">
      <alignment horizontal="center"/>
    </xf>
    <xf numFmtId="187" fontId="0" fillId="0" borderId="28" xfId="0" applyNumberFormat="1" applyBorder="1" applyAlignment="1">
      <alignment horizontal="center"/>
    </xf>
    <xf numFmtId="0" fontId="6" fillId="0" borderId="27" xfId="0" applyFont="1" applyBorder="1" applyAlignment="1">
      <alignment horizontal="left"/>
    </xf>
    <xf numFmtId="188" fontId="6" fillId="0" borderId="27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86" fontId="6" fillId="0" borderId="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191" fontId="0" fillId="0" borderId="0" xfId="0" applyNumberFormat="1" applyAlignment="1">
      <alignment horizontal="left"/>
    </xf>
    <xf numFmtId="192" fontId="0" fillId="0" borderId="0" xfId="0" applyNumberForma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1" borderId="29" xfId="0" applyFont="1" applyFill="1" applyBorder="1" applyAlignment="1">
      <alignment horizontal="left"/>
    </xf>
    <xf numFmtId="1" fontId="0" fillId="1" borderId="30" xfId="0" applyNumberFormat="1" applyFill="1" applyBorder="1" applyAlignment="1">
      <alignment/>
    </xf>
    <xf numFmtId="186" fontId="0" fillId="1" borderId="31" xfId="0" applyNumberFormat="1" applyFill="1" applyBorder="1" applyAlignment="1">
      <alignment horizontal="center"/>
    </xf>
    <xf numFmtId="191" fontId="0" fillId="1" borderId="31" xfId="0" applyNumberFormat="1" applyFill="1" applyBorder="1" applyAlignment="1">
      <alignment horizontal="left"/>
    </xf>
    <xf numFmtId="1" fontId="0" fillId="1" borderId="31" xfId="0" applyNumberFormat="1" applyFill="1" applyBorder="1" applyAlignment="1">
      <alignment/>
    </xf>
    <xf numFmtId="186" fontId="0" fillId="1" borderId="30" xfId="0" applyNumberFormat="1" applyFill="1" applyBorder="1" applyAlignment="1">
      <alignment horizontal="center"/>
    </xf>
    <xf numFmtId="191" fontId="0" fillId="0" borderId="0" xfId="0" applyNumberFormat="1" applyBorder="1" applyAlignment="1">
      <alignment horizontal="left"/>
    </xf>
    <xf numFmtId="0" fontId="8" fillId="0" borderId="14" xfId="0" applyFont="1" applyBorder="1" applyAlignment="1">
      <alignment horizontal="center"/>
    </xf>
    <xf numFmtId="19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186" fontId="4" fillId="0" borderId="0" xfId="0" applyNumberFormat="1" applyFont="1" applyAlignment="1">
      <alignment horizontal="center"/>
    </xf>
    <xf numFmtId="191" fontId="4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/>
    </xf>
    <xf numFmtId="187" fontId="6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186" fontId="6" fillId="0" borderId="2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186" fontId="4" fillId="0" borderId="1" xfId="0" applyNumberFormat="1" applyFont="1" applyBorder="1" applyAlignment="1">
      <alignment horizontal="center"/>
    </xf>
    <xf numFmtId="191" fontId="4" fillId="0" borderId="2" xfId="0" applyNumberFormat="1" applyFont="1" applyBorder="1" applyAlignment="1">
      <alignment horizontal="left"/>
    </xf>
    <xf numFmtId="1" fontId="0" fillId="0" borderId="1" xfId="0" applyNumberFormat="1" applyBorder="1" applyAlignment="1">
      <alignment/>
    </xf>
    <xf numFmtId="186" fontId="0" fillId="0" borderId="1" xfId="0" applyNumberFormat="1" applyBorder="1" applyAlignment="1">
      <alignment horizontal="center"/>
    </xf>
    <xf numFmtId="191" fontId="0" fillId="0" borderId="2" xfId="0" applyNumberFormat="1" applyBorder="1" applyAlignment="1">
      <alignment horizontal="left"/>
    </xf>
    <xf numFmtId="192" fontId="0" fillId="0" borderId="0" xfId="0" applyNumberFormat="1" applyBorder="1" applyAlignment="1">
      <alignment horizontal="left"/>
    </xf>
    <xf numFmtId="0" fontId="5" fillId="0" borderId="11" xfId="0" applyFont="1" applyBorder="1" applyAlignment="1">
      <alignment/>
    </xf>
    <xf numFmtId="187" fontId="5" fillId="0" borderId="3" xfId="0" applyNumberFormat="1" applyFont="1" applyBorder="1" applyAlignment="1">
      <alignment horizontal="center"/>
    </xf>
    <xf numFmtId="186" fontId="6" fillId="0" borderId="3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186" fontId="4" fillId="0" borderId="0" xfId="0" applyNumberFormat="1" applyFont="1" applyBorder="1" applyAlignment="1">
      <alignment horizontal="left"/>
    </xf>
    <xf numFmtId="191" fontId="4" fillId="0" borderId="3" xfId="0" applyNumberFormat="1" applyFont="1" applyBorder="1" applyAlignment="1">
      <alignment horizontal="left"/>
    </xf>
    <xf numFmtId="1" fontId="0" fillId="0" borderId="0" xfId="0" applyNumberFormat="1" applyBorder="1" applyAlignment="1">
      <alignment/>
    </xf>
    <xf numFmtId="192" fontId="4" fillId="0" borderId="0" xfId="0" applyNumberFormat="1" applyFont="1" applyBorder="1" applyAlignment="1">
      <alignment horizontal="left"/>
    </xf>
    <xf numFmtId="0" fontId="6" fillId="0" borderId="12" xfId="0" applyFont="1" applyBorder="1" applyAlignment="1">
      <alignment/>
    </xf>
    <xf numFmtId="187" fontId="6" fillId="0" borderId="5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1" fontId="0" fillId="0" borderId="4" xfId="0" applyNumberFormat="1" applyBorder="1" applyAlignment="1">
      <alignment/>
    </xf>
    <xf numFmtId="186" fontId="0" fillId="0" borderId="4" xfId="0" applyNumberFormat="1" applyBorder="1" applyAlignment="1">
      <alignment horizontal="center"/>
    </xf>
    <xf numFmtId="191" fontId="0" fillId="0" borderId="5" xfId="0" applyNumberFormat="1" applyBorder="1" applyAlignment="1">
      <alignment horizontal="left"/>
    </xf>
    <xf numFmtId="1" fontId="0" fillId="0" borderId="4" xfId="0" applyNumberFormat="1" applyBorder="1" applyAlignment="1">
      <alignment horizontal="right"/>
    </xf>
    <xf numFmtId="187" fontId="0" fillId="0" borderId="19" xfId="0" applyNumberFormat="1" applyBorder="1" applyAlignment="1">
      <alignment horizontal="center"/>
    </xf>
    <xf numFmtId="186" fontId="6" fillId="0" borderId="32" xfId="0" applyNumberFormat="1" applyFont="1" applyBorder="1" applyAlignment="1">
      <alignment horizontal="center"/>
    </xf>
    <xf numFmtId="1" fontId="6" fillId="0" borderId="13" xfId="0" applyNumberFormat="1" applyFont="1" applyBorder="1" applyAlignment="1" applyProtection="1">
      <alignment horizontal="right"/>
      <protection locked="0"/>
    </xf>
    <xf numFmtId="191" fontId="6" fillId="0" borderId="32" xfId="0" applyNumberFormat="1" applyFont="1" applyBorder="1" applyAlignment="1" applyProtection="1">
      <alignment horizontal="left"/>
      <protection locked="0"/>
    </xf>
    <xf numFmtId="191" fontId="6" fillId="0" borderId="6" xfId="0" applyNumberFormat="1" applyFont="1" applyBorder="1" applyAlignment="1" applyProtection="1">
      <alignment horizontal="left"/>
      <protection locked="0"/>
    </xf>
    <xf numFmtId="192" fontId="6" fillId="0" borderId="0" xfId="0" applyNumberFormat="1" applyFont="1" applyBorder="1" applyAlignment="1" applyProtection="1">
      <alignment horizontal="left"/>
      <protection locked="0"/>
    </xf>
    <xf numFmtId="1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187" fontId="0" fillId="0" borderId="1" xfId="0" applyNumberFormat="1" applyBorder="1" applyAlignment="1">
      <alignment horizontal="center"/>
    </xf>
    <xf numFmtId="186" fontId="6" fillId="0" borderId="1" xfId="0" applyNumberFormat="1" applyFont="1" applyBorder="1" applyAlignment="1">
      <alignment horizontal="center"/>
    </xf>
    <xf numFmtId="191" fontId="0" fillId="0" borderId="1" xfId="0" applyNumberFormat="1" applyBorder="1" applyAlignment="1">
      <alignment horizontal="left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86" fontId="0" fillId="0" borderId="13" xfId="0" applyNumberFormat="1" applyBorder="1" applyAlignment="1">
      <alignment horizontal="center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86" fontId="6" fillId="0" borderId="32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Border="1" applyAlignment="1" applyProtection="1">
      <alignment horizontal="right"/>
      <protection locked="0"/>
    </xf>
    <xf numFmtId="186" fontId="6" fillId="0" borderId="0" xfId="0" applyNumberFormat="1" applyFont="1" applyBorder="1" applyAlignment="1" applyProtection="1">
      <alignment horizontal="center"/>
      <protection locked="0"/>
    </xf>
    <xf numFmtId="1" fontId="6" fillId="0" borderId="32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left"/>
    </xf>
    <xf numFmtId="1" fontId="0" fillId="0" borderId="0" xfId="0" applyNumberFormat="1" applyAlignment="1" applyProtection="1">
      <alignment horizontal="right"/>
      <protection locked="0"/>
    </xf>
    <xf numFmtId="186" fontId="0" fillId="0" borderId="0" xfId="0" applyNumberFormat="1" applyAlignment="1" applyProtection="1">
      <alignment horizontal="center"/>
      <protection locked="0"/>
    </xf>
    <xf numFmtId="191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192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center"/>
      <protection locked="0"/>
    </xf>
    <xf numFmtId="193" fontId="6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right"/>
    </xf>
    <xf numFmtId="1" fontId="0" fillId="1" borderId="30" xfId="0" applyNumberFormat="1" applyFill="1" applyBorder="1" applyAlignment="1">
      <alignment horizontal="right"/>
    </xf>
    <xf numFmtId="192" fontId="0" fillId="1" borderId="31" xfId="0" applyNumberFormat="1" applyFill="1" applyBorder="1" applyAlignment="1">
      <alignment horizontal="left"/>
    </xf>
    <xf numFmtId="1" fontId="0" fillId="1" borderId="31" xfId="0" applyNumberFormat="1" applyFill="1" applyBorder="1" applyAlignment="1">
      <alignment horizontal="right"/>
    </xf>
    <xf numFmtId="1" fontId="4" fillId="0" borderId="0" xfId="0" applyNumberFormat="1" applyFont="1" applyAlignment="1">
      <alignment horizontal="right"/>
    </xf>
    <xf numFmtId="192" fontId="4" fillId="0" borderId="0" xfId="0" applyNumberFormat="1" applyFont="1" applyAlignment="1">
      <alignment horizontal="left"/>
    </xf>
    <xf numFmtId="1" fontId="0" fillId="0" borderId="0" xfId="0" applyNumberFormat="1" applyBorder="1" applyAlignment="1" applyProtection="1">
      <alignment horizontal="right"/>
      <protection locked="0"/>
    </xf>
    <xf numFmtId="1" fontId="4" fillId="0" borderId="1" xfId="0" applyNumberFormat="1" applyFont="1" applyBorder="1" applyAlignment="1">
      <alignment horizontal="right"/>
    </xf>
    <xf numFmtId="192" fontId="0" fillId="0" borderId="2" xfId="0" applyNumberFormat="1" applyBorder="1" applyAlignment="1">
      <alignment horizontal="left"/>
    </xf>
    <xf numFmtId="192" fontId="4" fillId="0" borderId="3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right"/>
    </xf>
    <xf numFmtId="192" fontId="0" fillId="0" borderId="5" xfId="0" applyNumberFormat="1" applyBorder="1" applyAlignment="1">
      <alignment horizontal="left"/>
    </xf>
    <xf numFmtId="187" fontId="0" fillId="0" borderId="6" xfId="0" applyNumberFormat="1" applyBorder="1" applyAlignment="1">
      <alignment horizontal="center"/>
    </xf>
    <xf numFmtId="1" fontId="0" fillId="0" borderId="1" xfId="0" applyNumberFormat="1" applyBorder="1" applyAlignment="1" applyProtection="1">
      <alignment horizontal="right"/>
      <protection locked="0"/>
    </xf>
    <xf numFmtId="192" fontId="0" fillId="0" borderId="1" xfId="0" applyNumberFormat="1" applyBorder="1" applyAlignment="1" applyProtection="1">
      <alignment horizontal="left"/>
      <protection locked="0"/>
    </xf>
    <xf numFmtId="1" fontId="9" fillId="0" borderId="0" xfId="0" applyNumberFormat="1" applyFont="1" applyAlignment="1">
      <alignment horizontal="right"/>
    </xf>
    <xf numFmtId="194" fontId="0" fillId="0" borderId="0" xfId="0" applyNumberFormat="1" applyAlignment="1" applyProtection="1">
      <alignment horizontal="right"/>
      <protection locked="0"/>
    </xf>
    <xf numFmtId="187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right"/>
    </xf>
    <xf numFmtId="187" fontId="0" fillId="0" borderId="0" xfId="0" applyNumberFormat="1" applyAlignment="1">
      <alignment horizontal="right"/>
    </xf>
    <xf numFmtId="187" fontId="7" fillId="0" borderId="0" xfId="0" applyNumberFormat="1" applyFont="1" applyAlignment="1">
      <alignment horizontal="right"/>
    </xf>
    <xf numFmtId="187" fontId="4" fillId="1" borderId="29" xfId="0" applyNumberFormat="1" applyFont="1" applyFill="1" applyBorder="1" applyAlignment="1">
      <alignment horizontal="left"/>
    </xf>
    <xf numFmtId="1" fontId="6" fillId="1" borderId="31" xfId="0" applyNumberFormat="1" applyFont="1" applyFill="1" applyBorder="1" applyAlignment="1">
      <alignment horizontal="right"/>
    </xf>
    <xf numFmtId="187" fontId="0" fillId="1" borderId="31" xfId="0" applyNumberFormat="1" applyFill="1" applyBorder="1" applyAlignment="1">
      <alignment/>
    </xf>
    <xf numFmtId="1" fontId="8" fillId="1" borderId="29" xfId="0" applyNumberFormat="1" applyFont="1" applyFill="1" applyBorder="1" applyAlignment="1">
      <alignment horizontal="left"/>
    </xf>
    <xf numFmtId="187" fontId="10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right"/>
    </xf>
    <xf numFmtId="187" fontId="10" fillId="0" borderId="0" xfId="0" applyNumberFormat="1" applyFont="1" applyBorder="1" applyAlignment="1">
      <alignment horizontal="left"/>
    </xf>
    <xf numFmtId="1" fontId="0" fillId="0" borderId="0" xfId="0" applyNumberFormat="1" applyAlignment="1">
      <alignment horizontal="center"/>
    </xf>
    <xf numFmtId="192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187" fontId="5" fillId="0" borderId="1" xfId="0" applyNumberFormat="1" applyFont="1" applyBorder="1" applyAlignment="1">
      <alignment horizontal="left"/>
    </xf>
    <xf numFmtId="1" fontId="5" fillId="0" borderId="2" xfId="0" applyNumberFormat="1" applyFont="1" applyBorder="1" applyAlignment="1">
      <alignment horizontal="right"/>
    </xf>
    <xf numFmtId="1" fontId="0" fillId="0" borderId="2" xfId="0" applyNumberForma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7" fontId="5" fillId="0" borderId="0" xfId="0" applyNumberFormat="1" applyFont="1" applyBorder="1" applyAlignment="1">
      <alignment horizontal="left" vertical="center"/>
    </xf>
    <xf numFmtId="1" fontId="5" fillId="0" borderId="3" xfId="0" applyNumberFormat="1" applyFont="1" applyBorder="1" applyAlignment="1">
      <alignment horizontal="right" vertical="center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/>
    </xf>
    <xf numFmtId="187" fontId="9" fillId="0" borderId="4" xfId="0" applyNumberFormat="1" applyFont="1" applyBorder="1" applyAlignment="1">
      <alignment horizontal="left"/>
    </xf>
    <xf numFmtId="1" fontId="9" fillId="0" borderId="5" xfId="0" applyNumberFormat="1" applyFont="1" applyBorder="1" applyAlignment="1">
      <alignment horizontal="right"/>
    </xf>
    <xf numFmtId="0" fontId="0" fillId="0" borderId="6" xfId="0" applyBorder="1" applyAlignment="1">
      <alignment/>
    </xf>
    <xf numFmtId="187" fontId="9" fillId="0" borderId="18" xfId="0" applyNumberFormat="1" applyFont="1" applyBorder="1" applyAlignment="1">
      <alignment horizontal="left"/>
    </xf>
    <xf numFmtId="1" fontId="9" fillId="0" borderId="6" xfId="0" applyNumberFormat="1" applyFont="1" applyBorder="1" applyAlignment="1">
      <alignment horizontal="right"/>
    </xf>
    <xf numFmtId="1" fontId="1" fillId="0" borderId="6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87" fontId="9" fillId="0" borderId="1" xfId="0" applyNumberFormat="1" applyFont="1" applyBorder="1" applyAlignment="1">
      <alignment horizontal="left"/>
    </xf>
    <xf numFmtId="1" fontId="9" fillId="0" borderId="1" xfId="0" applyNumberFormat="1" applyFont="1" applyBorder="1" applyAlignment="1">
      <alignment horizontal="right"/>
    </xf>
    <xf numFmtId="1" fontId="0" fillId="0" borderId="1" xfId="0" applyNumberFormat="1" applyBorder="1" applyAlignment="1">
      <alignment horizontal="center"/>
    </xf>
    <xf numFmtId="187" fontId="9" fillId="0" borderId="0" xfId="0" applyNumberFormat="1" applyFont="1" applyAlignment="1">
      <alignment horizontal="left"/>
    </xf>
    <xf numFmtId="188" fontId="6" fillId="0" borderId="0" xfId="0" applyNumberFormat="1" applyFont="1" applyAlignment="1">
      <alignment horizontal="center"/>
    </xf>
    <xf numFmtId="188" fontId="0" fillId="0" borderId="0" xfId="0" applyNumberFormat="1" applyAlignment="1">
      <alignment/>
    </xf>
    <xf numFmtId="187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191" fontId="6" fillId="0" borderId="34" xfId="0" applyNumberFormat="1" applyFont="1" applyBorder="1" applyAlignment="1" applyProtection="1">
      <alignment horizontal="left"/>
      <protection locked="0"/>
    </xf>
    <xf numFmtId="187" fontId="0" fillId="0" borderId="33" xfId="0" applyNumberFormat="1" applyBorder="1" applyAlignment="1">
      <alignment horizontal="center"/>
    </xf>
    <xf numFmtId="0" fontId="6" fillId="0" borderId="35" xfId="0" applyFont="1" applyBorder="1" applyAlignment="1">
      <alignment horizontal="left"/>
    </xf>
    <xf numFmtId="186" fontId="6" fillId="0" borderId="34" xfId="0" applyNumberFormat="1" applyFont="1" applyBorder="1" applyAlignment="1">
      <alignment horizontal="center"/>
    </xf>
    <xf numFmtId="186" fontId="0" fillId="0" borderId="35" xfId="0" applyNumberFormat="1" applyBorder="1" applyAlignment="1">
      <alignment horizontal="center"/>
    </xf>
    <xf numFmtId="1" fontId="6" fillId="0" borderId="35" xfId="0" applyNumberFormat="1" applyFont="1" applyBorder="1" applyAlignment="1" applyProtection="1">
      <alignment horizontal="right"/>
      <protection locked="0"/>
    </xf>
    <xf numFmtId="191" fontId="6" fillId="0" borderId="26" xfId="0" applyNumberFormat="1" applyFont="1" applyBorder="1" applyAlignment="1" applyProtection="1">
      <alignment horizontal="left"/>
      <protection locked="0"/>
    </xf>
    <xf numFmtId="187" fontId="0" fillId="0" borderId="0" xfId="0" applyNumberFormat="1" applyAlignment="1">
      <alignment horizontal="left"/>
    </xf>
    <xf numFmtId="192" fontId="0" fillId="0" borderId="0" xfId="0" applyNumberFormat="1" applyBorder="1" applyAlignment="1">
      <alignment horizontal="right"/>
    </xf>
    <xf numFmtId="192" fontId="0" fillId="0" borderId="0" xfId="0" applyNumberFormat="1" applyBorder="1" applyAlignment="1">
      <alignment/>
    </xf>
    <xf numFmtId="192" fontId="4" fillId="0" borderId="3" xfId="0" applyNumberFormat="1" applyFont="1" applyBorder="1" applyAlignment="1">
      <alignment horizontal="right"/>
    </xf>
    <xf numFmtId="192" fontId="7" fillId="0" borderId="3" xfId="0" applyNumberFormat="1" applyFont="1" applyBorder="1" applyAlignment="1">
      <alignment horizontal="center"/>
    </xf>
    <xf numFmtId="192" fontId="0" fillId="0" borderId="3" xfId="0" applyNumberFormat="1" applyBorder="1" applyAlignment="1">
      <alignment horizontal="right"/>
    </xf>
    <xf numFmtId="186" fontId="1" fillId="0" borderId="0" xfId="0" applyNumberFormat="1" applyFont="1" applyAlignment="1">
      <alignment horizontal="center"/>
    </xf>
    <xf numFmtId="191" fontId="1" fillId="0" borderId="0" xfId="0" applyNumberFormat="1" applyFont="1" applyAlignment="1">
      <alignment horizontal="left"/>
    </xf>
    <xf numFmtId="186" fontId="1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186" fontId="1" fillId="0" borderId="1" xfId="0" applyNumberFormat="1" applyFont="1" applyBorder="1" applyAlignment="1">
      <alignment horizontal="center"/>
    </xf>
    <xf numFmtId="191" fontId="1" fillId="0" borderId="2" xfId="0" applyNumberFormat="1" applyFont="1" applyBorder="1" applyAlignment="1">
      <alignment horizontal="left"/>
    </xf>
    <xf numFmtId="186" fontId="1" fillId="0" borderId="4" xfId="0" applyNumberFormat="1" applyFont="1" applyBorder="1" applyAlignment="1">
      <alignment horizontal="center"/>
    </xf>
    <xf numFmtId="191" fontId="1" fillId="0" borderId="5" xfId="0" applyNumberFormat="1" applyFont="1" applyBorder="1" applyAlignment="1">
      <alignment horizontal="left"/>
    </xf>
    <xf numFmtId="191" fontId="4" fillId="0" borderId="6" xfId="0" applyNumberFormat="1" applyFont="1" applyBorder="1" applyAlignment="1" applyProtection="1">
      <alignment horizontal="left"/>
      <protection locked="0"/>
    </xf>
    <xf numFmtId="191" fontId="1" fillId="0" borderId="1" xfId="0" applyNumberFormat="1" applyFont="1" applyBorder="1" applyAlignment="1">
      <alignment horizontal="left"/>
    </xf>
    <xf numFmtId="1" fontId="1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4" fillId="0" borderId="13" xfId="0" applyNumberFormat="1" applyFont="1" applyBorder="1" applyAlignment="1" applyProtection="1">
      <alignment horizontal="center"/>
      <protection locked="0"/>
    </xf>
    <xf numFmtId="1" fontId="1" fillId="0" borderId="9" xfId="0" applyNumberFormat="1" applyFont="1" applyBorder="1" applyAlignment="1">
      <alignment horizontal="center"/>
    </xf>
    <xf numFmtId="0" fontId="12" fillId="0" borderId="0" xfId="0" applyFont="1" applyAlignment="1">
      <alignment vertical="center"/>
    </xf>
    <xf numFmtId="0" fontId="0" fillId="0" borderId="19" xfId="0" applyFont="1" applyBorder="1" applyAlignment="1">
      <alignment horizontal="center"/>
    </xf>
    <xf numFmtId="1" fontId="4" fillId="0" borderId="9" xfId="0" applyNumberFormat="1" applyFont="1" applyBorder="1" applyAlignment="1" applyProtection="1">
      <alignment horizontal="center"/>
      <protection locked="0"/>
    </xf>
    <xf numFmtId="1" fontId="4" fillId="0" borderId="32" xfId="0" applyNumberFormat="1" applyFont="1" applyBorder="1" applyAlignment="1" applyProtection="1">
      <alignment horizontal="center"/>
      <protection locked="0"/>
    </xf>
    <xf numFmtId="1" fontId="4" fillId="0" borderId="36" xfId="0" applyNumberFormat="1" applyFont="1" applyBorder="1" applyAlignment="1" applyProtection="1">
      <alignment horizontal="center"/>
      <protection locked="0"/>
    </xf>
    <xf numFmtId="1" fontId="0" fillId="0" borderId="7" xfId="0" applyNumberFormat="1" applyBorder="1" applyAlignment="1">
      <alignment horizontal="right"/>
    </xf>
    <xf numFmtId="1" fontId="4" fillId="0" borderId="8" xfId="0" applyNumberFormat="1" applyFont="1" applyBorder="1" applyAlignment="1">
      <alignment horizontal="right"/>
    </xf>
    <xf numFmtId="1" fontId="0" fillId="0" borderId="9" xfId="0" applyNumberFormat="1" applyBorder="1" applyAlignment="1">
      <alignment horizontal="right"/>
    </xf>
    <xf numFmtId="0" fontId="6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6" fillId="0" borderId="9" xfId="0" applyFont="1" applyBorder="1" applyAlignment="1">
      <alignment/>
    </xf>
    <xf numFmtId="186" fontId="6" fillId="0" borderId="4" xfId="0" applyNumberFormat="1" applyFont="1" applyBorder="1" applyAlignment="1">
      <alignment horizontal="center"/>
    </xf>
    <xf numFmtId="192" fontId="6" fillId="0" borderId="5" xfId="0" applyNumberFormat="1" applyFont="1" applyBorder="1" applyAlignment="1">
      <alignment horizontal="left"/>
    </xf>
    <xf numFmtId="1" fontId="6" fillId="0" borderId="37" xfId="0" applyNumberFormat="1" applyFont="1" applyBorder="1" applyAlignment="1">
      <alignment horizontal="right"/>
    </xf>
    <xf numFmtId="0" fontId="6" fillId="0" borderId="38" xfId="0" applyFont="1" applyBorder="1" applyAlignment="1">
      <alignment horizontal="center"/>
    </xf>
    <xf numFmtId="187" fontId="6" fillId="0" borderId="17" xfId="0" applyNumberFormat="1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187" fontId="6" fillId="0" borderId="39" xfId="0" applyNumberFormat="1" applyFont="1" applyBorder="1" applyAlignment="1">
      <alignment horizontal="center"/>
    </xf>
    <xf numFmtId="186" fontId="6" fillId="0" borderId="40" xfId="0" applyNumberFormat="1" applyFont="1" applyBorder="1" applyAlignment="1">
      <alignment horizontal="center"/>
    </xf>
    <xf numFmtId="0" fontId="6" fillId="0" borderId="37" xfId="0" applyFont="1" applyBorder="1" applyAlignment="1">
      <alignment horizontal="left"/>
    </xf>
    <xf numFmtId="187" fontId="6" fillId="0" borderId="33" xfId="0" applyNumberFormat="1" applyFont="1" applyBorder="1" applyAlignment="1">
      <alignment horizontal="center"/>
    </xf>
    <xf numFmtId="186" fontId="6" fillId="0" borderId="26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1" fontId="6" fillId="0" borderId="37" xfId="0" applyNumberFormat="1" applyFont="1" applyBorder="1" applyAlignment="1" applyProtection="1">
      <alignment horizontal="right"/>
      <protection locked="0"/>
    </xf>
    <xf numFmtId="186" fontId="6" fillId="0" borderId="36" xfId="0" applyNumberFormat="1" applyFont="1" applyBorder="1" applyAlignment="1">
      <alignment horizontal="center"/>
    </xf>
    <xf numFmtId="191" fontId="6" fillId="0" borderId="40" xfId="0" applyNumberFormat="1" applyFont="1" applyBorder="1" applyAlignment="1" applyProtection="1">
      <alignment horizontal="left"/>
      <protection locked="0"/>
    </xf>
    <xf numFmtId="1" fontId="6" fillId="0" borderId="9" xfId="0" applyNumberFormat="1" applyFont="1" applyBorder="1" applyAlignment="1" applyProtection="1">
      <alignment horizontal="right"/>
      <protection locked="0"/>
    </xf>
    <xf numFmtId="1" fontId="6" fillId="0" borderId="4" xfId="0" applyNumberFormat="1" applyFont="1" applyBorder="1" applyAlignment="1" applyProtection="1">
      <alignment horizontal="right"/>
      <protection locked="0"/>
    </xf>
    <xf numFmtId="191" fontId="6" fillId="0" borderId="5" xfId="0" applyNumberFormat="1" applyFont="1" applyBorder="1" applyAlignment="1" applyProtection="1">
      <alignment horizontal="left"/>
      <protection locked="0"/>
    </xf>
    <xf numFmtId="0" fontId="4" fillId="2" borderId="14" xfId="0" applyFont="1" applyFill="1" applyBorder="1" applyAlignment="1">
      <alignment horizontal="center"/>
    </xf>
    <xf numFmtId="191" fontId="4" fillId="0" borderId="41" xfId="0" applyNumberFormat="1" applyFont="1" applyBorder="1" applyAlignment="1">
      <alignment horizontal="left"/>
    </xf>
    <xf numFmtId="191" fontId="4" fillId="0" borderId="42" xfId="0" applyNumberFormat="1" applyFont="1" applyBorder="1" applyAlignment="1">
      <alignment horizontal="left"/>
    </xf>
    <xf numFmtId="191" fontId="0" fillId="0" borderId="20" xfId="0" applyNumberFormat="1" applyBorder="1" applyAlignment="1">
      <alignment horizontal="left"/>
    </xf>
    <xf numFmtId="191" fontId="0" fillId="0" borderId="41" xfId="0" applyNumberFormat="1" applyBorder="1" applyAlignment="1">
      <alignment horizontal="left"/>
    </xf>
    <xf numFmtId="191" fontId="6" fillId="0" borderId="43" xfId="0" applyNumberFormat="1" applyFont="1" applyBorder="1" applyAlignment="1" applyProtection="1">
      <alignment horizontal="left"/>
      <protection locked="0"/>
    </xf>
    <xf numFmtId="191" fontId="6" fillId="0" borderId="20" xfId="0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 horizontal="center" vertical="center"/>
    </xf>
    <xf numFmtId="186" fontId="6" fillId="0" borderId="10" xfId="0" applyNumberFormat="1" applyFont="1" applyBorder="1" applyAlignment="1">
      <alignment horizontal="center"/>
    </xf>
    <xf numFmtId="186" fontId="6" fillId="0" borderId="36" xfId="0" applyNumberFormat="1" applyFont="1" applyBorder="1" applyAlignment="1">
      <alignment/>
    </xf>
    <xf numFmtId="186" fontId="6" fillId="0" borderId="39" xfId="0" applyNumberFormat="1" applyFont="1" applyBorder="1" applyAlignment="1">
      <alignment horizontal="center"/>
    </xf>
    <xf numFmtId="1" fontId="0" fillId="0" borderId="0" xfId="0" applyNumberFormat="1" applyAlignment="1">
      <alignment horizontal="left"/>
    </xf>
    <xf numFmtId="1" fontId="6" fillId="0" borderId="39" xfId="0" applyNumberFormat="1" applyFont="1" applyBorder="1" applyAlignment="1">
      <alignment horizontal="center"/>
    </xf>
    <xf numFmtId="0" fontId="0" fillId="0" borderId="0" xfId="0" applyNumberFormat="1" applyAlignment="1">
      <alignment horizontal="left"/>
    </xf>
    <xf numFmtId="1" fontId="6" fillId="0" borderId="36" xfId="0" applyNumberFormat="1" applyFont="1" applyBorder="1" applyAlignment="1" applyProtection="1">
      <alignment horizontal="center"/>
      <protection locked="0"/>
    </xf>
    <xf numFmtId="186" fontId="6" fillId="0" borderId="36" xfId="0" applyNumberFormat="1" applyFont="1" applyBorder="1" applyAlignment="1" applyProtection="1">
      <alignment horizontal="center"/>
      <protection locked="0"/>
    </xf>
    <xf numFmtId="187" fontId="0" fillId="0" borderId="1" xfId="0" applyNumberFormat="1" applyBorder="1" applyAlignment="1">
      <alignment/>
    </xf>
    <xf numFmtId="186" fontId="0" fillId="0" borderId="1" xfId="0" applyNumberFormat="1" applyBorder="1" applyAlignment="1">
      <alignment/>
    </xf>
    <xf numFmtId="191" fontId="0" fillId="0" borderId="1" xfId="0" applyNumberFormat="1" applyBorder="1" applyAlignment="1">
      <alignment/>
    </xf>
    <xf numFmtId="1" fontId="4" fillId="0" borderId="4" xfId="0" applyNumberFormat="1" applyFont="1" applyBorder="1" applyAlignment="1" applyProtection="1">
      <alignment horizontal="center"/>
      <protection locked="0"/>
    </xf>
    <xf numFmtId="191" fontId="4" fillId="0" borderId="5" xfId="0" applyNumberFormat="1" applyFont="1" applyBorder="1" applyAlignment="1" applyProtection="1">
      <alignment horizontal="left"/>
      <protection locked="0"/>
    </xf>
    <xf numFmtId="187" fontId="0" fillId="0" borderId="12" xfId="0" applyNumberFormat="1" applyBorder="1" applyAlignment="1">
      <alignment horizontal="center"/>
    </xf>
    <xf numFmtId="186" fontId="0" fillId="0" borderId="9" xfId="0" applyNumberFormat="1" applyBorder="1" applyAlignment="1">
      <alignment horizontal="center"/>
    </xf>
    <xf numFmtId="191" fontId="6" fillId="0" borderId="4" xfId="0" applyNumberFormat="1" applyFont="1" applyBorder="1" applyAlignment="1" applyProtection="1">
      <alignment horizontal="left"/>
      <protection locked="0"/>
    </xf>
    <xf numFmtId="187" fontId="0" fillId="0" borderId="39" xfId="0" applyNumberFormat="1" applyBorder="1" applyAlignment="1">
      <alignment horizontal="center"/>
    </xf>
    <xf numFmtId="186" fontId="0" fillId="0" borderId="37" xfId="0" applyNumberFormat="1" applyBorder="1" applyAlignment="1">
      <alignment horizontal="center"/>
    </xf>
    <xf numFmtId="0" fontId="6" fillId="0" borderId="5" xfId="0" applyFont="1" applyBorder="1" applyAlignment="1">
      <alignment horizontal="left"/>
    </xf>
    <xf numFmtId="1" fontId="6" fillId="0" borderId="4" xfId="0" applyNumberFormat="1" applyFont="1" applyBorder="1" applyAlignment="1">
      <alignment horizontal="right"/>
    </xf>
    <xf numFmtId="187" fontId="6" fillId="0" borderId="19" xfId="0" applyNumberFormat="1" applyFont="1" applyBorder="1" applyAlignment="1">
      <alignment horizontal="center"/>
    </xf>
    <xf numFmtId="0" fontId="6" fillId="0" borderId="32" xfId="0" applyFont="1" applyBorder="1" applyAlignment="1">
      <alignment horizontal="left"/>
    </xf>
    <xf numFmtId="186" fontId="6" fillId="0" borderId="6" xfId="0" applyNumberFormat="1" applyFont="1" applyBorder="1" applyAlignment="1">
      <alignment horizontal="center"/>
    </xf>
    <xf numFmtId="1" fontId="6" fillId="0" borderId="0" xfId="0" applyNumberFormat="1" applyFont="1" applyBorder="1" applyAlignment="1" applyProtection="1">
      <alignment horizontal="center"/>
      <protection locked="0"/>
    </xf>
    <xf numFmtId="191" fontId="0" fillId="0" borderId="1" xfId="0" applyNumberFormat="1" applyBorder="1" applyAlignment="1" applyProtection="1">
      <alignment horizontal="left"/>
      <protection locked="0"/>
    </xf>
    <xf numFmtId="20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" fontId="6" fillId="0" borderId="32" xfId="0" applyNumberFormat="1" applyFont="1" applyBorder="1" applyAlignment="1" applyProtection="1">
      <alignment horizontal="center"/>
      <protection locked="0"/>
    </xf>
    <xf numFmtId="0" fontId="8" fillId="0" borderId="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87" fontId="0" fillId="0" borderId="0" xfId="0" applyNumberFormat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86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86" fontId="0" fillId="0" borderId="0" xfId="0" applyNumberFormat="1" applyAlignment="1">
      <alignment horizontal="center" vertical="center"/>
    </xf>
    <xf numFmtId="191" fontId="0" fillId="0" borderId="0" xfId="0" applyNumberFormat="1" applyAlignment="1">
      <alignment horizontal="left" vertical="center"/>
    </xf>
    <xf numFmtId="192" fontId="0" fillId="0" borderId="0" xfId="0" applyNumberFormat="1" applyBorder="1" applyAlignment="1">
      <alignment vertical="center"/>
    </xf>
    <xf numFmtId="191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1" fontId="6" fillId="0" borderId="13" xfId="0" applyNumberFormat="1" applyFont="1" applyBorder="1" applyAlignment="1" applyProtection="1">
      <alignment horizontal="center"/>
      <protection locked="0"/>
    </xf>
    <xf numFmtId="1" fontId="6" fillId="0" borderId="44" xfId="0" applyNumberFormat="1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" fontId="6" fillId="0" borderId="8" xfId="0" applyNumberFormat="1" applyFont="1" applyBorder="1" applyAlignment="1" applyProtection="1">
      <alignment horizontal="center"/>
      <protection locked="0"/>
    </xf>
    <xf numFmtId="191" fontId="6" fillId="0" borderId="41" xfId="0" applyNumberFormat="1" applyFont="1" applyBorder="1" applyAlignment="1" applyProtection="1">
      <alignment horizontal="left"/>
      <protection locked="0"/>
    </xf>
    <xf numFmtId="191" fontId="6" fillId="0" borderId="1" xfId="0" applyNumberFormat="1" applyFont="1" applyBorder="1" applyAlignment="1" applyProtection="1">
      <alignment horizontal="left"/>
      <protection locked="0"/>
    </xf>
    <xf numFmtId="1" fontId="6" fillId="0" borderId="37" xfId="0" applyNumberFormat="1" applyFont="1" applyBorder="1" applyAlignment="1" applyProtection="1">
      <alignment horizontal="center"/>
      <protection locked="0"/>
    </xf>
    <xf numFmtId="192" fontId="4" fillId="0" borderId="41" xfId="0" applyNumberFormat="1" applyFont="1" applyBorder="1" applyAlignment="1">
      <alignment horizontal="left"/>
    </xf>
    <xf numFmtId="192" fontId="4" fillId="0" borderId="42" xfId="0" applyNumberFormat="1" applyFont="1" applyBorder="1" applyAlignment="1">
      <alignment horizontal="left"/>
    </xf>
    <xf numFmtId="192" fontId="0" fillId="0" borderId="20" xfId="0" applyNumberFormat="1" applyBorder="1" applyAlignment="1">
      <alignment horizontal="left"/>
    </xf>
    <xf numFmtId="191" fontId="6" fillId="0" borderId="18" xfId="0" applyNumberFormat="1" applyFont="1" applyBorder="1" applyAlignment="1" applyProtection="1">
      <alignment horizontal="left"/>
      <protection locked="0"/>
    </xf>
    <xf numFmtId="192" fontId="0" fillId="0" borderId="41" xfId="0" applyNumberFormat="1" applyBorder="1" applyAlignment="1">
      <alignment horizontal="left"/>
    </xf>
    <xf numFmtId="0" fontId="0" fillId="0" borderId="3" xfId="0" applyBorder="1" applyAlignment="1">
      <alignment horizontal="center"/>
    </xf>
    <xf numFmtId="191" fontId="6" fillId="0" borderId="15" xfId="0" applyNumberFormat="1" applyFont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14" fillId="0" borderId="8" xfId="0" applyFont="1" applyBorder="1" applyAlignment="1">
      <alignment/>
    </xf>
    <xf numFmtId="0" fontId="0" fillId="0" borderId="10" xfId="0" applyBorder="1" applyAlignment="1">
      <alignment horizontal="center"/>
    </xf>
    <xf numFmtId="191" fontId="15" fillId="0" borderId="32" xfId="0" applyNumberFormat="1" applyFont="1" applyBorder="1" applyAlignment="1" applyProtection="1">
      <alignment horizontal="left"/>
      <protection locked="0"/>
    </xf>
    <xf numFmtId="194" fontId="15" fillId="0" borderId="32" xfId="0" applyNumberFormat="1" applyFont="1" applyBorder="1" applyAlignment="1" applyProtection="1">
      <alignment horizontal="left"/>
      <protection locked="0"/>
    </xf>
    <xf numFmtId="191" fontId="15" fillId="0" borderId="6" xfId="0" applyNumberFormat="1" applyFont="1" applyBorder="1" applyAlignment="1" applyProtection="1">
      <alignment horizontal="left"/>
      <protection locked="0"/>
    </xf>
    <xf numFmtId="194" fontId="15" fillId="0" borderId="6" xfId="0" applyNumberFormat="1" applyFont="1" applyBorder="1" applyAlignment="1" applyProtection="1">
      <alignment horizontal="left"/>
      <protection locked="0"/>
    </xf>
    <xf numFmtId="195" fontId="15" fillId="0" borderId="6" xfId="0" applyNumberFormat="1" applyFont="1" applyBorder="1" applyAlignment="1" applyProtection="1">
      <alignment horizontal="left"/>
      <protection locked="0"/>
    </xf>
    <xf numFmtId="0" fontId="4" fillId="0" borderId="19" xfId="0" applyFont="1" applyBorder="1" applyAlignment="1">
      <alignment horizontal="center"/>
    </xf>
    <xf numFmtId="194" fontId="16" fillId="0" borderId="6" xfId="0" applyNumberFormat="1" applyFont="1" applyBorder="1" applyAlignment="1" applyProtection="1">
      <alignment horizontal="left"/>
      <protection locked="0"/>
    </xf>
    <xf numFmtId="1" fontId="4" fillId="0" borderId="10" xfId="0" applyNumberFormat="1" applyFont="1" applyBorder="1" applyAlignment="1">
      <alignment horizontal="center"/>
    </xf>
    <xf numFmtId="1" fontId="4" fillId="0" borderId="39" xfId="0" applyNumberFormat="1" applyFont="1" applyBorder="1" applyAlignment="1">
      <alignment horizontal="center"/>
    </xf>
    <xf numFmtId="186" fontId="6" fillId="0" borderId="0" xfId="0" applyNumberFormat="1" applyFont="1" applyBorder="1" applyAlignment="1">
      <alignment/>
    </xf>
    <xf numFmtId="1" fontId="4" fillId="0" borderId="44" xfId="0" applyNumberFormat="1" applyFont="1" applyBorder="1" applyAlignment="1">
      <alignment horizontal="center"/>
    </xf>
    <xf numFmtId="194" fontId="15" fillId="0" borderId="41" xfId="0" applyNumberFormat="1" applyFont="1" applyBorder="1" applyAlignment="1" applyProtection="1">
      <alignment horizontal="left"/>
      <protection locked="0"/>
    </xf>
    <xf numFmtId="191" fontId="15" fillId="0" borderId="43" xfId="0" applyNumberFormat="1" applyFont="1" applyBorder="1" applyAlignment="1" applyProtection="1">
      <alignment horizontal="left"/>
      <protection locked="0"/>
    </xf>
    <xf numFmtId="194" fontId="15" fillId="0" borderId="43" xfId="0" applyNumberFormat="1" applyFont="1" applyBorder="1" applyAlignment="1" applyProtection="1">
      <alignment horizontal="left"/>
      <protection locked="0"/>
    </xf>
    <xf numFmtId="195" fontId="15" fillId="0" borderId="43" xfId="0" applyNumberFormat="1" applyFont="1" applyBorder="1" applyAlignment="1" applyProtection="1">
      <alignment horizontal="left"/>
      <protection locked="0"/>
    </xf>
    <xf numFmtId="191" fontId="15" fillId="0" borderId="40" xfId="0" applyNumberFormat="1" applyFont="1" applyBorder="1" applyAlignment="1" applyProtection="1">
      <alignment horizontal="left"/>
      <protection locked="0"/>
    </xf>
    <xf numFmtId="194" fontId="15" fillId="0" borderId="40" xfId="0" applyNumberFormat="1" applyFont="1" applyBorder="1" applyAlignment="1" applyProtection="1">
      <alignment horizontal="left"/>
      <protection locked="0"/>
    </xf>
    <xf numFmtId="1" fontId="15" fillId="0" borderId="36" xfId="0" applyNumberFormat="1" applyFont="1" applyBorder="1" applyAlignment="1" applyProtection="1">
      <alignment horizontal="center"/>
      <protection locked="0"/>
    </xf>
    <xf numFmtId="194" fontId="15" fillId="0" borderId="36" xfId="0" applyNumberFormat="1" applyFont="1" applyBorder="1" applyAlignment="1" applyProtection="1">
      <alignment horizontal="center"/>
      <protection locked="0"/>
    </xf>
    <xf numFmtId="1" fontId="6" fillId="0" borderId="35" xfId="0" applyNumberFormat="1" applyFont="1" applyBorder="1" applyAlignment="1" applyProtection="1">
      <alignment horizontal="center"/>
      <protection locked="0"/>
    </xf>
    <xf numFmtId="1" fontId="6" fillId="0" borderId="34" xfId="0" applyNumberFormat="1" applyFont="1" applyBorder="1" applyAlignment="1" applyProtection="1">
      <alignment horizontal="center"/>
      <protection locked="0"/>
    </xf>
    <xf numFmtId="191" fontId="6" fillId="0" borderId="27" xfId="0" applyNumberFormat="1" applyFont="1" applyBorder="1" applyAlignment="1" applyProtection="1">
      <alignment horizontal="left"/>
      <protection locked="0"/>
    </xf>
    <xf numFmtId="1" fontId="6" fillId="0" borderId="45" xfId="0" applyNumberFormat="1" applyFont="1" applyBorder="1" applyAlignment="1" applyProtection="1">
      <alignment horizontal="center"/>
      <protection locked="0"/>
    </xf>
    <xf numFmtId="191" fontId="15" fillId="0" borderId="26" xfId="0" applyNumberFormat="1" applyFont="1" applyBorder="1" applyAlignment="1" applyProtection="1">
      <alignment horizontal="left"/>
      <protection locked="0"/>
    </xf>
    <xf numFmtId="191" fontId="15" fillId="0" borderId="27" xfId="0" applyNumberFormat="1" applyFont="1" applyBorder="1" applyAlignment="1" applyProtection="1">
      <alignment horizontal="left"/>
      <protection locked="0"/>
    </xf>
    <xf numFmtId="1" fontId="15" fillId="0" borderId="45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191" fontId="4" fillId="0" borderId="3" xfId="0" applyNumberFormat="1" applyFont="1" applyBorder="1" applyAlignment="1" applyProtection="1">
      <alignment horizontal="left"/>
      <protection locked="0"/>
    </xf>
    <xf numFmtId="1" fontId="4" fillId="0" borderId="8" xfId="0" applyNumberFormat="1" applyFont="1" applyBorder="1" applyAlignment="1" applyProtection="1">
      <alignment horizontal="center"/>
      <protection locked="0"/>
    </xf>
    <xf numFmtId="191" fontId="4" fillId="0" borderId="41" xfId="0" applyNumberFormat="1" applyFont="1" applyBorder="1" applyAlignment="1" applyProtection="1">
      <alignment horizontal="left"/>
      <protection locked="0"/>
    </xf>
    <xf numFmtId="191" fontId="4" fillId="0" borderId="40" xfId="0" applyNumberFormat="1" applyFont="1" applyBorder="1" applyAlignment="1" applyProtection="1">
      <alignment horizontal="left"/>
      <protection locked="0"/>
    </xf>
    <xf numFmtId="1" fontId="4" fillId="0" borderId="37" xfId="0" applyNumberFormat="1" applyFont="1" applyBorder="1" applyAlignment="1" applyProtection="1">
      <alignment horizontal="center"/>
      <protection locked="0"/>
    </xf>
    <xf numFmtId="191" fontId="4" fillId="0" borderId="43" xfId="0" applyNumberFormat="1" applyFont="1" applyBorder="1" applyAlignment="1" applyProtection="1">
      <alignment horizontal="left"/>
      <protection locked="0"/>
    </xf>
    <xf numFmtId="1" fontId="4" fillId="0" borderId="45" xfId="0" applyNumberFormat="1" applyFont="1" applyBorder="1" applyAlignment="1" applyProtection="1">
      <alignment horizontal="center"/>
      <protection locked="0"/>
    </xf>
    <xf numFmtId="1" fontId="4" fillId="0" borderId="34" xfId="0" applyNumberFormat="1" applyFont="1" applyBorder="1" applyAlignment="1" applyProtection="1">
      <alignment horizontal="center"/>
      <protection locked="0"/>
    </xf>
    <xf numFmtId="191" fontId="4" fillId="0" borderId="26" xfId="0" applyNumberFormat="1" applyFont="1" applyBorder="1" applyAlignment="1" applyProtection="1">
      <alignment horizontal="left"/>
      <protection locked="0"/>
    </xf>
    <xf numFmtId="191" fontId="4" fillId="0" borderId="27" xfId="0" applyNumberFormat="1" applyFont="1" applyBorder="1" applyAlignment="1" applyProtection="1">
      <alignment horizontal="left"/>
      <protection locked="0"/>
    </xf>
    <xf numFmtId="194" fontId="15" fillId="3" borderId="36" xfId="0" applyNumberFormat="1" applyFont="1" applyFill="1" applyBorder="1" applyAlignment="1" applyProtection="1">
      <alignment horizontal="center"/>
      <protection locked="0"/>
    </xf>
    <xf numFmtId="1" fontId="6" fillId="3" borderId="36" xfId="0" applyNumberFormat="1" applyFont="1" applyFill="1" applyBorder="1" applyAlignment="1" applyProtection="1">
      <alignment horizontal="center"/>
      <protection locked="0"/>
    </xf>
    <xf numFmtId="194" fontId="15" fillId="3" borderId="40" xfId="0" applyNumberFormat="1" applyFont="1" applyFill="1" applyBorder="1" applyAlignment="1" applyProtection="1">
      <alignment horizontal="left"/>
      <protection locked="0"/>
    </xf>
    <xf numFmtId="194" fontId="16" fillId="0" borderId="43" xfId="0" applyNumberFormat="1" applyFont="1" applyBorder="1" applyAlignment="1" applyProtection="1">
      <alignment horizontal="left"/>
      <protection locked="0"/>
    </xf>
    <xf numFmtId="194" fontId="16" fillId="0" borderId="40" xfId="0" applyNumberFormat="1" applyFont="1" applyBorder="1" applyAlignment="1" applyProtection="1">
      <alignment horizontal="left"/>
      <protection locked="0"/>
    </xf>
    <xf numFmtId="191" fontId="0" fillId="0" borderId="0" xfId="0" applyNumberFormat="1" applyBorder="1" applyAlignment="1" applyProtection="1">
      <alignment horizontal="left"/>
      <protection locked="0"/>
    </xf>
    <xf numFmtId="191" fontId="15" fillId="0" borderId="18" xfId="0" applyNumberFormat="1" applyFont="1" applyBorder="1" applyAlignment="1" applyProtection="1">
      <alignment horizontal="left"/>
      <protection locked="0"/>
    </xf>
    <xf numFmtId="194" fontId="15" fillId="0" borderId="18" xfId="0" applyNumberFormat="1" applyFont="1" applyBorder="1" applyAlignment="1" applyProtection="1">
      <alignment horizontal="left"/>
      <protection locked="0"/>
    </xf>
    <xf numFmtId="0" fontId="1" fillId="0" borderId="19" xfId="0" applyFont="1" applyBorder="1" applyAlignment="1">
      <alignment horizontal="center"/>
    </xf>
    <xf numFmtId="191" fontId="4" fillId="0" borderId="18" xfId="0" applyNumberFormat="1" applyFont="1" applyBorder="1" applyAlignment="1" applyProtection="1">
      <alignment horizontal="left"/>
      <protection locked="0"/>
    </xf>
    <xf numFmtId="1" fontId="4" fillId="0" borderId="13" xfId="0" applyNumberFormat="1" applyFont="1" applyBorder="1" applyAlignment="1">
      <alignment horizontal="right"/>
    </xf>
    <xf numFmtId="186" fontId="4" fillId="0" borderId="32" xfId="0" applyNumberFormat="1" applyFont="1" applyBorder="1" applyAlignment="1">
      <alignment horizontal="center"/>
    </xf>
    <xf numFmtId="192" fontId="4" fillId="0" borderId="6" xfId="0" applyNumberFormat="1" applyFont="1" applyBorder="1" applyAlignment="1">
      <alignment horizontal="left"/>
    </xf>
    <xf numFmtId="1" fontId="6" fillId="0" borderId="35" xfId="0" applyNumberFormat="1" applyFont="1" applyBorder="1" applyAlignment="1">
      <alignment horizontal="right"/>
    </xf>
    <xf numFmtId="194" fontId="15" fillId="0" borderId="26" xfId="0" applyNumberFormat="1" applyFont="1" applyBorder="1" applyAlignment="1" applyProtection="1">
      <alignment horizontal="left"/>
      <protection locked="0"/>
    </xf>
    <xf numFmtId="1" fontId="6" fillId="0" borderId="1" xfId="0" applyNumberFormat="1" applyFont="1" applyBorder="1" applyAlignment="1">
      <alignment horizontal="right"/>
    </xf>
    <xf numFmtId="192" fontId="6" fillId="0" borderId="1" xfId="0" applyNumberFormat="1" applyFont="1" applyBorder="1" applyAlignment="1">
      <alignment horizontal="left"/>
    </xf>
    <xf numFmtId="1" fontId="6" fillId="0" borderId="8" xfId="0" applyNumberFormat="1" applyFont="1" applyBorder="1" applyAlignment="1">
      <alignment horizontal="right"/>
    </xf>
    <xf numFmtId="192" fontId="6" fillId="0" borderId="3" xfId="0" applyNumberFormat="1" applyFont="1" applyBorder="1" applyAlignment="1">
      <alignment horizontal="left"/>
    </xf>
    <xf numFmtId="186" fontId="0" fillId="0" borderId="0" xfId="0" applyNumberFormat="1" applyBorder="1" applyAlignment="1" applyProtection="1">
      <alignment horizontal="center"/>
      <protection locked="0"/>
    </xf>
    <xf numFmtId="192" fontId="0" fillId="0" borderId="0" xfId="0" applyNumberFormat="1" applyBorder="1" applyAlignment="1" applyProtection="1">
      <alignment horizontal="left"/>
      <protection locked="0"/>
    </xf>
    <xf numFmtId="191" fontId="4" fillId="0" borderId="15" xfId="0" applyNumberFormat="1" applyFont="1" applyBorder="1" applyAlignment="1" applyProtection="1">
      <alignment horizontal="left"/>
      <protection locked="0"/>
    </xf>
    <xf numFmtId="1" fontId="4" fillId="0" borderId="35" xfId="0" applyNumberFormat="1" applyFont="1" applyBorder="1" applyAlignment="1" applyProtection="1">
      <alignment horizontal="center"/>
      <protection locked="0"/>
    </xf>
    <xf numFmtId="191" fontId="4" fillId="0" borderId="36" xfId="0" applyNumberFormat="1" applyFont="1" applyBorder="1" applyAlignment="1" applyProtection="1">
      <alignment horizontal="left"/>
      <protection locked="0"/>
    </xf>
    <xf numFmtId="0" fontId="4" fillId="0" borderId="33" xfId="0" applyFont="1" applyBorder="1" applyAlignment="1">
      <alignment horizontal="center"/>
    </xf>
    <xf numFmtId="49" fontId="0" fillId="0" borderId="0" xfId="0" applyNumberFormat="1" applyAlignment="1">
      <alignment/>
    </xf>
    <xf numFmtId="47" fontId="6" fillId="0" borderId="17" xfId="0" applyNumberFormat="1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workbookViewId="0" topLeftCell="A70">
      <selection activeCell="J25" sqref="J25"/>
    </sheetView>
  </sheetViews>
  <sheetFormatPr defaultColWidth="9.140625" defaultRowHeight="12.75"/>
  <cols>
    <col min="1" max="1" width="8.8515625" style="2" customWidth="1"/>
    <col min="2" max="2" width="6.140625" style="40" customWidth="1"/>
    <col min="3" max="3" width="5.7109375" style="41" customWidth="1"/>
    <col min="4" max="4" width="37.57421875" style="42" customWidth="1"/>
    <col min="5" max="5" width="6.00390625" style="43" bestFit="1" customWidth="1"/>
    <col min="6" max="6" width="6.28125" style="68" customWidth="1"/>
    <col min="7" max="7" width="4.00390625" style="68" customWidth="1"/>
    <col min="8" max="8" width="3.8515625" style="68" customWidth="1"/>
    <col min="9" max="9" width="4.28125" style="44" customWidth="1"/>
    <col min="10" max="10" width="31.8515625" style="0" customWidth="1"/>
    <col min="11" max="16384" width="11.421875" style="0" customWidth="1"/>
  </cols>
  <sheetData>
    <row r="1" spans="2:9" ht="3" customHeight="1">
      <c r="B1"/>
      <c r="C1" s="28"/>
      <c r="D1" s="33"/>
      <c r="E1" s="34"/>
      <c r="F1" s="35"/>
      <c r="G1" s="35"/>
      <c r="H1" s="35"/>
      <c r="I1" s="36"/>
    </row>
    <row r="2" spans="2:9" ht="13.5">
      <c r="B2"/>
      <c r="C2" s="28"/>
      <c r="D2" s="37" t="s">
        <v>82</v>
      </c>
      <c r="E2" s="38"/>
      <c r="F2" s="2"/>
      <c r="G2" s="2"/>
      <c r="H2" s="2"/>
      <c r="I2"/>
    </row>
    <row r="3" spans="2:9" ht="13.5">
      <c r="B3"/>
      <c r="C3" s="28"/>
      <c r="D3" s="3"/>
      <c r="E3" s="38"/>
      <c r="F3" s="2"/>
      <c r="G3" s="2"/>
      <c r="H3" s="2"/>
      <c r="I3"/>
    </row>
    <row r="4" spans="1:9" ht="13.5">
      <c r="A4"/>
      <c r="B4"/>
      <c r="C4"/>
      <c r="D4" s="325" t="s">
        <v>136</v>
      </c>
      <c r="E4" s="223"/>
      <c r="F4" s="3"/>
      <c r="G4" s="3"/>
      <c r="H4" s="3"/>
      <c r="I4"/>
    </row>
    <row r="5" spans="1:9" ht="6" customHeight="1">
      <c r="A5"/>
      <c r="B5"/>
      <c r="C5"/>
      <c r="D5" s="39"/>
      <c r="E5" s="223"/>
      <c r="F5" s="3"/>
      <c r="G5" s="3"/>
      <c r="H5" s="3"/>
      <c r="I5"/>
    </row>
    <row r="6" spans="6:8" ht="6" customHeight="1">
      <c r="F6" s="44"/>
      <c r="G6" s="44"/>
      <c r="H6" s="44"/>
    </row>
    <row r="7" spans="2:9" ht="13.5">
      <c r="B7" s="45"/>
      <c r="C7" s="46"/>
      <c r="D7" s="47" t="s">
        <v>137</v>
      </c>
      <c r="E7" s="38"/>
      <c r="F7" s="48"/>
      <c r="G7" s="48"/>
      <c r="H7" s="48"/>
      <c r="I7" s="48"/>
    </row>
    <row r="8" spans="1:10" ht="13.5">
      <c r="A8" s="49"/>
      <c r="B8" s="45"/>
      <c r="C8" s="46"/>
      <c r="D8" s="50"/>
      <c r="E8" s="38"/>
      <c r="F8" s="48"/>
      <c r="G8" s="48"/>
      <c r="H8" s="48"/>
      <c r="I8" s="48"/>
      <c r="J8" s="1"/>
    </row>
    <row r="9" spans="1:11" ht="13.5">
      <c r="A9" s="51">
        <f>(ROW(A9)-6)/3</f>
        <v>1</v>
      </c>
      <c r="B9" s="52" t="s">
        <v>138</v>
      </c>
      <c r="C9" s="53">
        <v>26</v>
      </c>
      <c r="D9" s="71" t="str">
        <f>VLOOKUP($C9,DosF2C!$B$7:$E$100,2)</f>
        <v>MARTINI G. / MENOZZI M.</v>
      </c>
      <c r="E9" s="72">
        <f>VLOOKUP($C9,DosF2C!$B$7:$E$100,3)</f>
        <v>0</v>
      </c>
      <c r="F9" s="73" t="str">
        <f>VLOOKUP($C9,DosF2C!$B$7:$E$100,4)</f>
        <v>ITA</v>
      </c>
      <c r="G9" s="87" t="s">
        <v>157</v>
      </c>
      <c r="H9" s="87"/>
      <c r="I9" s="56"/>
      <c r="J9" s="57"/>
      <c r="K9" s="423" t="s">
        <v>163</v>
      </c>
    </row>
    <row r="10" spans="1:11" ht="12.75">
      <c r="A10" s="58">
        <v>0.5833333333333334</v>
      </c>
      <c r="B10" s="59" t="s">
        <v>139</v>
      </c>
      <c r="C10" s="60">
        <v>30</v>
      </c>
      <c r="D10" s="74" t="str">
        <f>VLOOKUP($C10,DosF2C!$B$7:$E$100,2)</f>
        <v>CONTENTE A. / SECO F.</v>
      </c>
      <c r="E10" s="75">
        <f>VLOOKUP($C10,DosF2C!$B$7:$E$100,3)</f>
        <v>0</v>
      </c>
      <c r="F10" s="76" t="str">
        <f>VLOOKUP($C10,DosF2C!$B$7:$E$100,4)</f>
        <v>POR</v>
      </c>
      <c r="G10" s="87" t="s">
        <v>161</v>
      </c>
      <c r="H10" s="87" t="s">
        <v>162</v>
      </c>
      <c r="I10" s="56"/>
      <c r="J10" s="63"/>
      <c r="K10" s="423" t="s">
        <v>164</v>
      </c>
    </row>
    <row r="11" spans="1:11" ht="12.75">
      <c r="A11" s="64"/>
      <c r="B11" s="65" t="s">
        <v>140</v>
      </c>
      <c r="C11" s="66">
        <v>6</v>
      </c>
      <c r="D11" s="77" t="str">
        <f>VLOOKUP($C11,DosF2C!$B$7:$E$100,2)</f>
        <v>NITSCHE H. / NITSCHE H.</v>
      </c>
      <c r="E11" s="79">
        <f>VLOOKUP($C11,DosF2C!$B$7:$E$100,3)</f>
        <v>0</v>
      </c>
      <c r="F11" s="78" t="str">
        <f>VLOOKUP($C11,DosF2C!$B$7:$E$100,4)</f>
        <v>AUT</v>
      </c>
      <c r="G11" s="87" t="s">
        <v>157</v>
      </c>
      <c r="H11" s="87"/>
      <c r="I11" s="56"/>
      <c r="J11" s="67"/>
      <c r="K11" s="423" t="s">
        <v>165</v>
      </c>
    </row>
    <row r="12" spans="1:11" ht="13.5">
      <c r="A12" s="51">
        <f>(ROW(A12)-6)/3</f>
        <v>2</v>
      </c>
      <c r="B12" s="52" t="s">
        <v>138</v>
      </c>
      <c r="C12" s="53">
        <v>33</v>
      </c>
      <c r="D12" s="71" t="str">
        <f>VLOOKUP($C12,DosF2C!$B$7:$E$100,2)</f>
        <v>SURKOV O. / BALEZINE V.</v>
      </c>
      <c r="E12" s="72">
        <f>VLOOKUP($C12,DosF2C!$B$7:$E$100,3)</f>
        <v>0</v>
      </c>
      <c r="F12" s="73" t="str">
        <f>VLOOKUP($C12,DosF2C!$B$7:$E$100,4)</f>
        <v>RUS</v>
      </c>
      <c r="G12" s="87" t="s">
        <v>162</v>
      </c>
      <c r="H12" s="87" t="s">
        <v>157</v>
      </c>
      <c r="I12" s="56" t="s">
        <v>160</v>
      </c>
      <c r="J12" s="67" t="s">
        <v>159</v>
      </c>
      <c r="K12" s="423" t="s">
        <v>159</v>
      </c>
    </row>
    <row r="13" spans="1:11" ht="12.75">
      <c r="A13" s="58">
        <f>A10+$A$73</f>
        <v>0.5916666666666667</v>
      </c>
      <c r="B13" s="59" t="s">
        <v>139</v>
      </c>
      <c r="C13" s="60">
        <v>47</v>
      </c>
      <c r="D13" s="74" t="str">
        <f>VLOOKUP($C13,DosF2C!$B$7:$E$100,2)</f>
        <v>ZHURAVLYOV V. / SOSNOVSKIY V.</v>
      </c>
      <c r="E13" s="75">
        <f>VLOOKUP($C13,DosF2C!$B$7:$E$100,3)</f>
        <v>0</v>
      </c>
      <c r="F13" s="76" t="str">
        <f>VLOOKUP($C13,DosF2C!$B$7:$E$100,4)</f>
        <v>UKR</v>
      </c>
      <c r="G13" s="87" t="s">
        <v>161</v>
      </c>
      <c r="H13" s="87" t="s">
        <v>157</v>
      </c>
      <c r="I13" s="56" t="s">
        <v>157</v>
      </c>
      <c r="J13" s="67" t="s">
        <v>159</v>
      </c>
      <c r="K13" s="423" t="s">
        <v>159</v>
      </c>
    </row>
    <row r="14" spans="1:11" ht="12.75">
      <c r="A14" s="64"/>
      <c r="B14" s="65" t="s">
        <v>140</v>
      </c>
      <c r="C14" s="66">
        <v>38</v>
      </c>
      <c r="D14" s="77" t="str">
        <f>VLOOKUP($C14,DosF2C!$B$7:$E$100,2)</f>
        <v>SATHA S. / WEE C.</v>
      </c>
      <c r="E14" s="79">
        <f>VLOOKUP($C14,DosF2C!$B$7:$E$100,3)</f>
        <v>0</v>
      </c>
      <c r="F14" s="78" t="str">
        <f>VLOOKUP($C14,DosF2C!$B$7:$E$100,4)</f>
        <v>SIN</v>
      </c>
      <c r="G14" s="87" t="s">
        <v>157</v>
      </c>
      <c r="H14" s="87"/>
      <c r="I14" s="56" t="s">
        <v>166</v>
      </c>
      <c r="J14" s="67" t="s">
        <v>159</v>
      </c>
      <c r="K14" s="423" t="s">
        <v>159</v>
      </c>
    </row>
    <row r="15" spans="1:11" ht="13.5">
      <c r="A15" s="51">
        <f>(ROW(A15)-6)/3</f>
        <v>3</v>
      </c>
      <c r="B15" s="52" t="s">
        <v>138</v>
      </c>
      <c r="C15" s="53">
        <v>43</v>
      </c>
      <c r="D15" s="71" t="str">
        <f>VLOOKUP($C15,DosF2C!$B$7:$E$100,2)</f>
        <v>MUELLER R. / SACCAVINO V.</v>
      </c>
      <c r="E15" s="72">
        <f>VLOOKUP($C15,DosF2C!$B$7:$E$100,3)</f>
        <v>0</v>
      </c>
      <c r="F15" s="73" t="str">
        <f>VLOOKUP($C15,DosF2C!$B$7:$E$100,4)</f>
        <v>SUI</v>
      </c>
      <c r="G15" s="87" t="s">
        <v>160</v>
      </c>
      <c r="H15" s="87" t="s">
        <v>160</v>
      </c>
      <c r="I15" s="56"/>
      <c r="J15" s="57"/>
      <c r="K15" s="423" t="s">
        <v>167</v>
      </c>
    </row>
    <row r="16" spans="1:11" ht="12.75">
      <c r="A16" s="58">
        <f>A13+$A$73</f>
        <v>0.6</v>
      </c>
      <c r="B16" s="59" t="s">
        <v>139</v>
      </c>
      <c r="C16" s="60">
        <v>7</v>
      </c>
      <c r="D16" s="74" t="str">
        <f>VLOOKUP($C16,DosF2C!$B$7:$E$100,2)</f>
        <v>DESSAUCY L. / DESSAUCY J. </v>
      </c>
      <c r="E16" s="75">
        <f>VLOOKUP($C16,DosF2C!$B$7:$E$100,3)</f>
        <v>0</v>
      </c>
      <c r="F16" s="76" t="str">
        <f>VLOOKUP($C16,DosF2C!$B$7:$E$100,4)</f>
        <v>BEL</v>
      </c>
      <c r="G16" s="87" t="s">
        <v>157</v>
      </c>
      <c r="H16" s="87"/>
      <c r="I16" s="56"/>
      <c r="J16" s="63"/>
      <c r="K16" s="423" t="s">
        <v>168</v>
      </c>
    </row>
    <row r="17" spans="1:11" ht="12.75">
      <c r="A17" s="64"/>
      <c r="B17" s="65" t="s">
        <v>140</v>
      </c>
      <c r="C17" s="66">
        <v>35</v>
      </c>
      <c r="D17" s="77" t="str">
        <f>VLOOKUP($C17,DosF2C!$B$7:$E$100,2)</f>
        <v>USTINOV D. / ORESHKINE A.</v>
      </c>
      <c r="E17" s="79" t="str">
        <f>VLOOKUP($C17,DosF2C!$B$7:$E$100,3)</f>
        <v>Jun</v>
      </c>
      <c r="F17" s="78" t="str">
        <f>VLOOKUP($C17,DosF2C!$B$7:$E$100,4)</f>
        <v>RUS</v>
      </c>
      <c r="G17" s="87" t="s">
        <v>157</v>
      </c>
      <c r="H17" s="87" t="s">
        <v>157</v>
      </c>
      <c r="I17" s="56" t="s">
        <v>160</v>
      </c>
      <c r="J17" s="67" t="s">
        <v>159</v>
      </c>
      <c r="K17" s="423" t="s">
        <v>159</v>
      </c>
    </row>
    <row r="18" spans="1:11" ht="13.5">
      <c r="A18" s="51">
        <f>(ROW(A18)-6)/3</f>
        <v>4</v>
      </c>
      <c r="B18" s="52" t="s">
        <v>138</v>
      </c>
      <c r="C18" s="53">
        <v>14</v>
      </c>
      <c r="D18" s="71" t="str">
        <f>VLOOKUP($C18,DosF2C!$B$7:$E$100,2)</f>
        <v>DELOR B. / CONSTANT P.</v>
      </c>
      <c r="E18" s="72">
        <f>VLOOKUP($C18,DosF2C!$B$7:$E$100,3)</f>
        <v>0</v>
      </c>
      <c r="F18" s="73" t="str">
        <f>VLOOKUP($C18,DosF2C!$B$7:$E$100,4)</f>
        <v>FRA</v>
      </c>
      <c r="G18" s="87" t="s">
        <v>157</v>
      </c>
      <c r="H18" s="87" t="s">
        <v>157</v>
      </c>
      <c r="I18" s="56"/>
      <c r="J18" s="57"/>
      <c r="K18" s="423" t="s">
        <v>169</v>
      </c>
    </row>
    <row r="19" spans="1:11" ht="12.75">
      <c r="A19" s="58">
        <f>A16+$A$73</f>
        <v>0.6083333333333333</v>
      </c>
      <c r="B19" s="59" t="s">
        <v>139</v>
      </c>
      <c r="C19" s="60">
        <v>18</v>
      </c>
      <c r="D19" s="74" t="str">
        <f>VLOOKUP($C19,DosF2C!$B$7:$E$100,2)</f>
        <v>MARSCHALL H./ KUCKELKORN F.</v>
      </c>
      <c r="E19" s="75">
        <f>VLOOKUP($C19,DosF2C!$B$7:$E$100,3)</f>
        <v>0</v>
      </c>
      <c r="F19" s="76" t="str">
        <f>VLOOKUP($C19,DosF2C!$B$7:$E$100,4)</f>
        <v>GER</v>
      </c>
      <c r="G19" s="87" t="s">
        <v>157</v>
      </c>
      <c r="H19" s="87"/>
      <c r="I19" s="56"/>
      <c r="J19" s="63"/>
      <c r="K19" s="423" t="s">
        <v>170</v>
      </c>
    </row>
    <row r="20" spans="1:11" ht="12.75">
      <c r="A20" s="64"/>
      <c r="B20" s="65" t="s">
        <v>140</v>
      </c>
      <c r="C20" s="66">
        <v>20</v>
      </c>
      <c r="D20" s="77" t="str">
        <f>VLOOKUP($C20,DosF2C!$B$7:$E$100,2)</f>
        <v>LANGWORTH B. / CAMPBELL D.</v>
      </c>
      <c r="E20" s="79">
        <f>VLOOKUP($C20,DosF2C!$B$7:$E$100,3)</f>
        <v>0</v>
      </c>
      <c r="F20" s="78" t="str">
        <f>VLOOKUP($C20,DosF2C!$B$7:$E$100,4)</f>
        <v>GBR</v>
      </c>
      <c r="G20" s="87" t="s">
        <v>157</v>
      </c>
      <c r="H20" s="87" t="s">
        <v>157</v>
      </c>
      <c r="I20" s="56"/>
      <c r="J20" s="67"/>
      <c r="K20" s="423" t="s">
        <v>171</v>
      </c>
    </row>
    <row r="21" spans="1:11" ht="13.5">
      <c r="A21" s="51">
        <f>(ROW(A21)-6)/3</f>
        <v>5</v>
      </c>
      <c r="B21" s="52" t="s">
        <v>138</v>
      </c>
      <c r="C21" s="53">
        <v>1</v>
      </c>
      <c r="D21" s="71" t="str">
        <f>VLOOKUP($C21,DosF2C!$B$7:$E$100,2)</f>
        <v>ANDREEV S. / SOBKO S.</v>
      </c>
      <c r="E21" s="72" t="str">
        <f>VLOOKUP($C21,DosF2C!$B$7:$E$100,3)</f>
        <v>W/CH</v>
      </c>
      <c r="F21" s="73" t="str">
        <f>VLOOKUP($C21,DosF2C!$B$7:$E$100,4)</f>
        <v>RUS</v>
      </c>
      <c r="G21" s="87" t="s">
        <v>157</v>
      </c>
      <c r="H21" s="87" t="s">
        <v>162</v>
      </c>
      <c r="I21" s="56"/>
      <c r="J21" s="57"/>
      <c r="K21" s="423" t="s">
        <v>172</v>
      </c>
    </row>
    <row r="22" spans="1:11" ht="12.75">
      <c r="A22" s="58">
        <f>A19+$A$73</f>
        <v>0.6166666666666666</v>
      </c>
      <c r="B22" s="59" t="s">
        <v>139</v>
      </c>
      <c r="C22" s="60">
        <v>36</v>
      </c>
      <c r="D22" s="74" t="str">
        <f>VLOOKUP($C22,DosF2C!$B$7:$E$100,2)</f>
        <v>ABDHUL RAMAN N. / NAJIMUDEEN H.</v>
      </c>
      <c r="E22" s="75" t="str">
        <f>VLOOKUP($C22,DosF2C!$B$7:$E$100,3)</f>
        <v>Jun</v>
      </c>
      <c r="F22" s="76" t="str">
        <f>VLOOKUP($C22,DosF2C!$B$7:$E$100,4)</f>
        <v>SIN</v>
      </c>
      <c r="G22" s="87"/>
      <c r="H22" s="87"/>
      <c r="I22" s="56"/>
      <c r="J22" s="63"/>
      <c r="K22" s="423" t="s">
        <v>173</v>
      </c>
    </row>
    <row r="23" spans="1:11" ht="12.75">
      <c r="A23" s="64"/>
      <c r="B23" s="65" t="s">
        <v>140</v>
      </c>
      <c r="C23" s="66">
        <v>17</v>
      </c>
      <c r="D23" s="77" t="str">
        <f>VLOOKUP($C23,DosF2C!$B$7:$E$100,2)</f>
        <v>LINDEMANN R. / KIEL U.</v>
      </c>
      <c r="E23" s="79">
        <f>VLOOKUP($C23,DosF2C!$B$7:$E$100,3)</f>
        <v>0</v>
      </c>
      <c r="F23" s="78" t="str">
        <f>VLOOKUP($C23,DosF2C!$B$7:$E$100,4)</f>
        <v>GER</v>
      </c>
      <c r="G23" s="87" t="s">
        <v>157</v>
      </c>
      <c r="H23" s="87" t="s">
        <v>157</v>
      </c>
      <c r="I23" s="56"/>
      <c r="J23" s="67"/>
      <c r="K23" s="423" t="s">
        <v>174</v>
      </c>
    </row>
    <row r="24" spans="1:11" ht="13.5">
      <c r="A24" s="51">
        <f>(ROW(A24)-6)/3</f>
        <v>6</v>
      </c>
      <c r="B24" s="52" t="s">
        <v>138</v>
      </c>
      <c r="C24" s="53">
        <v>4</v>
      </c>
      <c r="D24" s="71" t="str">
        <f>VLOOKUP($C24,DosF2C!$B$7:$E$100,2)</f>
        <v>WILSON G. / STEIN P.</v>
      </c>
      <c r="E24" s="72">
        <f>VLOOKUP($C24,DosF2C!$B$7:$E$100,3)</f>
        <v>0</v>
      </c>
      <c r="F24" s="73" t="str">
        <f>VLOOKUP($C24,DosF2C!$B$7:$E$100,4)</f>
        <v>AUS</v>
      </c>
      <c r="G24" s="87"/>
      <c r="H24" s="87"/>
      <c r="I24" s="56"/>
      <c r="J24" s="57" t="s">
        <v>158</v>
      </c>
      <c r="K24" s="423"/>
    </row>
    <row r="25" spans="1:11" ht="12.75">
      <c r="A25" s="58">
        <f>A22+$A$73</f>
        <v>0.6249999999999999</v>
      </c>
      <c r="B25" s="59" t="s">
        <v>139</v>
      </c>
      <c r="C25" s="60">
        <v>42</v>
      </c>
      <c r="D25" s="74" t="str">
        <f>VLOOKUP($C25,DosF2C!$B$7:$E$100,2)</f>
        <v>BORER H. / SACCAVINO C.</v>
      </c>
      <c r="E25" s="75">
        <f>VLOOKUP($C25,DosF2C!$B$7:$E$100,3)</f>
        <v>0</v>
      </c>
      <c r="F25" s="76" t="str">
        <f>VLOOKUP($C25,DosF2C!$B$7:$E$100,4)</f>
        <v>SUI</v>
      </c>
      <c r="G25" s="87" t="s">
        <v>162</v>
      </c>
      <c r="H25" s="87" t="s">
        <v>162</v>
      </c>
      <c r="I25" s="56"/>
      <c r="J25" s="63" t="s">
        <v>177</v>
      </c>
      <c r="K25" s="423" t="s">
        <v>159</v>
      </c>
    </row>
    <row r="26" spans="1:11" ht="12.75">
      <c r="A26" s="64"/>
      <c r="B26" s="65" t="s">
        <v>140</v>
      </c>
      <c r="C26" s="66">
        <v>34</v>
      </c>
      <c r="D26" s="77" t="str">
        <f>VLOOKUP($C26,DosF2C!$B$7:$E$100,2)</f>
        <v>TITOV V. / JOUGOV V.</v>
      </c>
      <c r="E26" s="79">
        <f>VLOOKUP($C26,DosF2C!$B$7:$E$100,3)</f>
        <v>0</v>
      </c>
      <c r="F26" s="78" t="str">
        <f>VLOOKUP($C26,DosF2C!$B$7:$E$100,4)</f>
        <v>RUS</v>
      </c>
      <c r="G26" s="87" t="s">
        <v>162</v>
      </c>
      <c r="H26" s="87"/>
      <c r="I26" s="56"/>
      <c r="J26" s="67" t="s">
        <v>158</v>
      </c>
      <c r="K26" s="423"/>
    </row>
    <row r="27" spans="1:11" s="1" customFormat="1" ht="12.75">
      <c r="A27" s="49"/>
      <c r="B27" s="40"/>
      <c r="C27" s="41"/>
      <c r="D27" s="86"/>
      <c r="E27" s="34"/>
      <c r="F27" s="87"/>
      <c r="G27" s="87"/>
      <c r="H27" s="87"/>
      <c r="I27" s="56"/>
      <c r="J27" s="86"/>
      <c r="K27" s="423"/>
    </row>
    <row r="28" spans="1:11" ht="13.5">
      <c r="A28" s="51">
        <f>(ROW(A28)-7)/3</f>
        <v>7</v>
      </c>
      <c r="B28" s="52" t="s">
        <v>138</v>
      </c>
      <c r="C28" s="53">
        <v>3</v>
      </c>
      <c r="D28" s="71" t="str">
        <f>VLOOKUP($C28,DosF2C!$B$7:$E$100,2)</f>
        <v>JUSTIC R. / OWEN R.</v>
      </c>
      <c r="E28" s="72">
        <f>VLOOKUP($C28,DosF2C!$B$7:$E$100,3)</f>
        <v>0</v>
      </c>
      <c r="F28" s="73" t="str">
        <f>VLOOKUP($C28,DosF2C!$B$7:$E$100,4)</f>
        <v>AUS</v>
      </c>
      <c r="G28" s="87" t="s">
        <v>160</v>
      </c>
      <c r="H28" s="87"/>
      <c r="I28" s="56"/>
      <c r="J28" s="57" t="s">
        <v>178</v>
      </c>
      <c r="K28" s="423" t="s">
        <v>159</v>
      </c>
    </row>
    <row r="29" spans="1:11" ht="12.75">
      <c r="A29" s="58">
        <f>A25+2*$A$73</f>
        <v>0.6416666666666666</v>
      </c>
      <c r="B29" s="59" t="s">
        <v>139</v>
      </c>
      <c r="C29" s="60">
        <v>10</v>
      </c>
      <c r="D29" s="74" t="str">
        <f>VLOOKUP($C29,DosF2C!$B$7:$E$100,2)</f>
        <v>BARRAGAN A. / BARRAGAN J.</v>
      </c>
      <c r="E29" s="75">
        <f>VLOOKUP($C29,DosF2C!$B$7:$E$100,3)</f>
        <v>0</v>
      </c>
      <c r="F29" s="76" t="str">
        <f>VLOOKUP($C29,DosF2C!$B$7:$E$100,4)</f>
        <v>ESP</v>
      </c>
      <c r="G29" s="87"/>
      <c r="H29" s="87"/>
      <c r="I29" s="56"/>
      <c r="J29" s="63" t="s">
        <v>158</v>
      </c>
      <c r="K29" s="423"/>
    </row>
    <row r="30" spans="1:11" ht="12.75">
      <c r="A30" s="64"/>
      <c r="B30" s="65" t="s">
        <v>140</v>
      </c>
      <c r="C30" s="66">
        <v>16</v>
      </c>
      <c r="D30" s="77" t="str">
        <f>VLOOKUP($C30,DosF2C!$B$7:$E$100,2)</f>
        <v>BUCCI L. / PERRET C.</v>
      </c>
      <c r="E30" s="79" t="str">
        <f>VLOOKUP($C30,DosF2C!$B$7:$E$100,3)</f>
        <v>Jun</v>
      </c>
      <c r="F30" s="78" t="str">
        <f>VLOOKUP($C30,DosF2C!$B$7:$E$100,4)</f>
        <v>FRA</v>
      </c>
      <c r="G30" s="87"/>
      <c r="H30" s="87"/>
      <c r="I30" s="56"/>
      <c r="J30" s="67" t="s">
        <v>179</v>
      </c>
      <c r="K30" s="423" t="s">
        <v>180</v>
      </c>
    </row>
    <row r="31" spans="1:11" ht="13.5">
      <c r="A31" s="51">
        <f>(ROW(A31)-7)/3</f>
        <v>8</v>
      </c>
      <c r="B31" s="52" t="s">
        <v>138</v>
      </c>
      <c r="C31" s="53">
        <v>25</v>
      </c>
      <c r="D31" s="71" t="str">
        <f>VLOOKUP($C31,DosF2C!$B$7:$E$100,2)</f>
        <v>MAGLI M./  PIRAZZINI E.</v>
      </c>
      <c r="E31" s="72">
        <f>VLOOKUP($C31,DosF2C!$B$7:$E$100,3)</f>
        <v>0</v>
      </c>
      <c r="F31" s="73" t="str">
        <f>VLOOKUP($C31,DosF2C!$B$7:$E$100,4)</f>
        <v>ITA</v>
      </c>
      <c r="G31" s="87" t="s">
        <v>157</v>
      </c>
      <c r="H31" s="87"/>
      <c r="I31" s="56"/>
      <c r="J31" s="57"/>
      <c r="K31" s="423" t="s">
        <v>185</v>
      </c>
    </row>
    <row r="32" spans="1:11" ht="12.75">
      <c r="A32" s="58">
        <f>A29+$A$73</f>
        <v>0.6499999999999999</v>
      </c>
      <c r="B32" s="59" t="s">
        <v>139</v>
      </c>
      <c r="C32" s="60">
        <v>23</v>
      </c>
      <c r="D32" s="74" t="str">
        <f>VLOOKUP($C32,DosF2C!$B$7:$E$100,2)</f>
        <v>MOHAI I. / SZVACSEK F.</v>
      </c>
      <c r="E32" s="75">
        <f>VLOOKUP($C32,DosF2C!$B$7:$E$100,3)</f>
        <v>0</v>
      </c>
      <c r="F32" s="76" t="str">
        <f>VLOOKUP($C32,DosF2C!$B$7:$E$100,4)</f>
        <v>HUN</v>
      </c>
      <c r="G32" s="87" t="s">
        <v>157</v>
      </c>
      <c r="H32" s="87" t="s">
        <v>157</v>
      </c>
      <c r="I32" s="56"/>
      <c r="J32" s="63"/>
      <c r="K32" s="423" t="s">
        <v>184</v>
      </c>
    </row>
    <row r="33" spans="1:11" ht="12.75">
      <c r="A33" s="64"/>
      <c r="B33" s="65" t="s">
        <v>140</v>
      </c>
      <c r="C33" s="66">
        <v>37</v>
      </c>
      <c r="D33" s="77" t="str">
        <f>VLOOKUP($C33,DosF2C!$B$7:$E$100,2)</f>
        <v>ONG R. / SU D.</v>
      </c>
      <c r="E33" s="79">
        <f>VLOOKUP($C33,DosF2C!$B$7:$E$100,3)</f>
        <v>0</v>
      </c>
      <c r="F33" s="78" t="str">
        <f>VLOOKUP($C33,DosF2C!$B$7:$E$100,4)</f>
        <v>SIN</v>
      </c>
      <c r="G33" s="87"/>
      <c r="H33" s="87"/>
      <c r="I33" s="56"/>
      <c r="J33" s="67" t="s">
        <v>179</v>
      </c>
      <c r="K33" s="423" t="s">
        <v>183</v>
      </c>
    </row>
    <row r="34" spans="1:11" ht="13.5">
      <c r="A34" s="51">
        <f>(ROW(A34)-7)/3</f>
        <v>9</v>
      </c>
      <c r="B34" s="52" t="s">
        <v>138</v>
      </c>
      <c r="C34" s="53">
        <v>12</v>
      </c>
      <c r="D34" s="71" t="str">
        <f>VLOOKUP($C34,DosF2C!$B$7:$E$100,2)</f>
        <v>LOPEZ J. / DEL HOYO C. </v>
      </c>
      <c r="E34" s="72">
        <f>VLOOKUP($C34,DosF2C!$B$7:$E$100,3)</f>
        <v>0</v>
      </c>
      <c r="F34" s="73" t="str">
        <f>VLOOKUP($C34,DosF2C!$B$7:$E$100,4)</f>
        <v>ESP</v>
      </c>
      <c r="G34" s="87" t="s">
        <v>186</v>
      </c>
      <c r="H34" s="87" t="s">
        <v>157</v>
      </c>
      <c r="I34" s="56"/>
      <c r="J34" s="57"/>
      <c r="K34" s="423" t="s">
        <v>187</v>
      </c>
    </row>
    <row r="35" spans="1:11" ht="12.75">
      <c r="A35" s="58">
        <f>A32+$A$73</f>
        <v>0.6583333333333332</v>
      </c>
      <c r="B35" s="59" t="s">
        <v>139</v>
      </c>
      <c r="C35" s="60">
        <v>45</v>
      </c>
      <c r="D35" s="74" t="str">
        <f>VLOOKUP($C35,DosF2C!$B$7:$E$100,2)</f>
        <v>BONDARENKO Y. / LERNER S.</v>
      </c>
      <c r="E35" s="75">
        <f>VLOOKUP($C35,DosF2C!$B$7:$E$100,3)</f>
        <v>0</v>
      </c>
      <c r="F35" s="76" t="str">
        <f>VLOOKUP($C35,DosF2C!$B$7:$E$100,4)</f>
        <v>UKR</v>
      </c>
      <c r="G35" s="87"/>
      <c r="H35" s="87"/>
      <c r="I35" s="56"/>
      <c r="J35" s="63"/>
      <c r="K35" s="423" t="s">
        <v>188</v>
      </c>
    </row>
    <row r="36" spans="1:11" ht="12.75">
      <c r="A36" s="64"/>
      <c r="B36" s="65" t="s">
        <v>140</v>
      </c>
      <c r="C36" s="66">
        <v>40</v>
      </c>
      <c r="D36" s="77" t="str">
        <f>VLOOKUP($C36,DosF2C!$B$7:$E$100,2)</f>
        <v>SAMUELSSON B. O. / AXTILIUS K.</v>
      </c>
      <c r="E36" s="79">
        <f>VLOOKUP($C36,DosF2C!$B$7:$E$100,3)</f>
        <v>0</v>
      </c>
      <c r="F36" s="78" t="str">
        <f>VLOOKUP($C36,DosF2C!$B$7:$E$100,4)</f>
        <v>SWE</v>
      </c>
      <c r="G36" s="87" t="s">
        <v>160</v>
      </c>
      <c r="H36" s="87"/>
      <c r="I36" s="56"/>
      <c r="J36" s="67"/>
      <c r="K36" s="423" t="s">
        <v>189</v>
      </c>
    </row>
    <row r="37" spans="1:11" ht="13.5">
      <c r="A37" s="51">
        <f>(ROW(A37)-7)/3</f>
        <v>10</v>
      </c>
      <c r="B37" s="52" t="s">
        <v>138</v>
      </c>
      <c r="C37" s="53">
        <v>22</v>
      </c>
      <c r="D37" s="71" t="str">
        <f>VLOOKUP($C37,DosF2C!$B$7:$E$100,2)</f>
        <v>ORVOS F. / NAGY Z.</v>
      </c>
      <c r="E37" s="72">
        <f>VLOOKUP($C37,DosF2C!$B$7:$E$100,3)</f>
        <v>0</v>
      </c>
      <c r="F37" s="73" t="str">
        <f>VLOOKUP($C37,DosF2C!$B$7:$E$100,4)</f>
        <v>HUN</v>
      </c>
      <c r="G37" s="87" t="s">
        <v>162</v>
      </c>
      <c r="H37" s="87"/>
      <c r="I37" s="56"/>
      <c r="J37" s="57"/>
      <c r="K37" s="423" t="s">
        <v>192</v>
      </c>
    </row>
    <row r="38" spans="1:11" ht="12.75">
      <c r="A38" s="58">
        <f>A35+$A$73</f>
        <v>0.6666666666666665</v>
      </c>
      <c r="B38" s="59" t="s">
        <v>139</v>
      </c>
      <c r="C38" s="60">
        <v>5</v>
      </c>
      <c r="D38" s="74" t="str">
        <f>VLOOKUP($C38,DosF2C!$B$7:$E$100,2)</f>
        <v>FISCHER J. / STRANIAK H.</v>
      </c>
      <c r="E38" s="75">
        <f>VLOOKUP($C38,DosF2C!$B$7:$E$100,3)</f>
        <v>0</v>
      </c>
      <c r="F38" s="76" t="str">
        <f>VLOOKUP($C38,DosF2C!$B$7:$E$100,4)</f>
        <v>AUT</v>
      </c>
      <c r="G38" s="87" t="s">
        <v>157</v>
      </c>
      <c r="H38" s="87" t="s">
        <v>161</v>
      </c>
      <c r="I38" s="56"/>
      <c r="J38" s="63"/>
      <c r="K38" s="423" t="s">
        <v>191</v>
      </c>
    </row>
    <row r="39" spans="1:11" ht="12.75">
      <c r="A39" s="64"/>
      <c r="B39" s="65" t="s">
        <v>140</v>
      </c>
      <c r="C39" s="66">
        <v>15</v>
      </c>
      <c r="D39" s="77" t="str">
        <f>VLOOKUP($C39,DosF2C!$B$7:$E$100,2)</f>
        <v>SURUGUE P. / SURUGUE G.</v>
      </c>
      <c r="E39" s="79">
        <f>VLOOKUP($C39,DosF2C!$B$7:$E$100,3)</f>
        <v>0</v>
      </c>
      <c r="F39" s="78" t="str">
        <f>VLOOKUP($C39,DosF2C!$B$7:$E$100,4)</f>
        <v>FRA</v>
      </c>
      <c r="G39" s="87" t="s">
        <v>157</v>
      </c>
      <c r="H39" s="87" t="s">
        <v>157</v>
      </c>
      <c r="I39" s="56"/>
      <c r="J39" s="67"/>
      <c r="K39" s="423" t="s">
        <v>190</v>
      </c>
    </row>
    <row r="40" spans="1:11" ht="13.5">
      <c r="A40" s="51">
        <f>(ROW(A40)-7)/3</f>
        <v>11</v>
      </c>
      <c r="B40" s="52" t="s">
        <v>138</v>
      </c>
      <c r="C40" s="53">
        <v>19</v>
      </c>
      <c r="D40" s="71" t="str">
        <f>VLOOKUP($C40,DosF2C!$B$7:$E$100,2)</f>
        <v>ROSS M. / TURNER B.</v>
      </c>
      <c r="E40" s="72">
        <f>VLOOKUP($C40,DosF2C!$B$7:$E$100,3)</f>
        <v>0</v>
      </c>
      <c r="F40" s="73" t="str">
        <f>VLOOKUP($C40,DosF2C!$B$7:$E$100,4)</f>
        <v>GBR</v>
      </c>
      <c r="G40" s="87" t="s">
        <v>157</v>
      </c>
      <c r="H40" s="87" t="s">
        <v>157</v>
      </c>
      <c r="I40" s="56"/>
      <c r="J40" s="57"/>
      <c r="K40" s="423" t="s">
        <v>193</v>
      </c>
    </row>
    <row r="41" spans="1:11" ht="12.75">
      <c r="A41" s="58">
        <f>A38+$A$73</f>
        <v>0.6749999999999998</v>
      </c>
      <c r="B41" s="59" t="s">
        <v>139</v>
      </c>
      <c r="C41" s="60">
        <v>49</v>
      </c>
      <c r="D41" s="74" t="str">
        <f>VLOOKUP($C41,DosF2C!$B$7:$E$100,2)</f>
        <v>ASCHER A. / ASCHER L.</v>
      </c>
      <c r="E41" s="75">
        <f>VLOOKUP($C41,DosF2C!$B$7:$E$100,3)</f>
        <v>0</v>
      </c>
      <c r="F41" s="76" t="str">
        <f>VLOOKUP($C41,DosF2C!$B$7:$E$100,4)</f>
        <v>USA</v>
      </c>
      <c r="G41" s="87" t="s">
        <v>161</v>
      </c>
      <c r="H41" s="87" t="s">
        <v>157</v>
      </c>
      <c r="I41" s="56"/>
      <c r="J41" s="63"/>
      <c r="K41" s="423" t="s">
        <v>194</v>
      </c>
    </row>
    <row r="42" spans="1:11" ht="12.75">
      <c r="A42" s="64"/>
      <c r="B42" s="65" t="s">
        <v>140</v>
      </c>
      <c r="C42" s="66">
        <v>8</v>
      </c>
      <c r="D42" s="77" t="str">
        <f>VLOOKUP($C42,DosF2C!$B$7:$E$100,2)</f>
        <v>FAIREY R. / FAIREY B. </v>
      </c>
      <c r="E42" s="79">
        <f>VLOOKUP($C42,DosF2C!$B$7:$E$100,3)</f>
        <v>0</v>
      </c>
      <c r="F42" s="78" t="str">
        <f>VLOOKUP($C42,DosF2C!$B$7:$E$100,4)</f>
        <v>CAN</v>
      </c>
      <c r="G42" s="87" t="s">
        <v>157</v>
      </c>
      <c r="H42" s="87" t="s">
        <v>157</v>
      </c>
      <c r="I42" s="56"/>
      <c r="J42" s="67"/>
      <c r="K42" s="423" t="s">
        <v>195</v>
      </c>
    </row>
    <row r="43" spans="1:11" ht="13.5">
      <c r="A43" s="51">
        <f>(ROW(A43)-7)/3</f>
        <v>12</v>
      </c>
      <c r="B43" s="52" t="s">
        <v>138</v>
      </c>
      <c r="C43" s="53">
        <v>32</v>
      </c>
      <c r="D43" s="71" t="str">
        <f>VLOOKUP($C43,DosF2C!$B$7:$E$100,2)</f>
        <v>CHABACHOV J. / MOSKALEEV S.</v>
      </c>
      <c r="E43" s="72">
        <f>VLOOKUP($C43,DosF2C!$B$7:$E$100,3)</f>
        <v>0</v>
      </c>
      <c r="F43" s="73" t="str">
        <f>VLOOKUP($C43,DosF2C!$B$7:$E$100,4)</f>
        <v>RUS</v>
      </c>
      <c r="G43" s="87"/>
      <c r="H43" s="87"/>
      <c r="I43" s="56"/>
      <c r="J43" s="63" t="s">
        <v>158</v>
      </c>
      <c r="K43" s="423"/>
    </row>
    <row r="44" spans="1:11" ht="12.75">
      <c r="A44" s="58">
        <f>A41+$A$73</f>
        <v>0.6833333333333331</v>
      </c>
      <c r="B44" s="59" t="s">
        <v>139</v>
      </c>
      <c r="C44" s="60">
        <v>41</v>
      </c>
      <c r="D44" s="74" t="str">
        <f>VLOOKUP($C44,DosF2C!$B$7:$E$100,2)</f>
        <v>GUSTAFSSON J. / BJÖHOLM S.</v>
      </c>
      <c r="E44" s="75">
        <f>VLOOKUP($C44,DosF2C!$B$7:$E$100,3)</f>
        <v>0</v>
      </c>
      <c r="F44" s="76" t="str">
        <f>VLOOKUP($C44,DosF2C!$B$7:$E$100,4)</f>
        <v>SWE</v>
      </c>
      <c r="G44" s="87"/>
      <c r="H44" s="87"/>
      <c r="I44" s="56"/>
      <c r="J44" s="63" t="s">
        <v>158</v>
      </c>
      <c r="K44" s="423"/>
    </row>
    <row r="45" spans="1:11" ht="12.75">
      <c r="A45" s="64"/>
      <c r="B45" s="65" t="s">
        <v>140</v>
      </c>
      <c r="C45" s="66">
        <v>50</v>
      </c>
      <c r="D45" s="77" t="str">
        <f>VLOOKUP($C45,DosF2C!$B$7:$E$100,2)</f>
        <v>BALLARD J. / LAMBERT D.</v>
      </c>
      <c r="E45" s="79">
        <f>VLOOKUP($C45,DosF2C!$B$7:$E$100,3)</f>
        <v>0</v>
      </c>
      <c r="F45" s="78" t="str">
        <f>VLOOKUP($C45,DosF2C!$B$7:$E$100,4)</f>
        <v>USA</v>
      </c>
      <c r="G45" s="87" t="s">
        <v>162</v>
      </c>
      <c r="H45" s="87" t="s">
        <v>162</v>
      </c>
      <c r="I45" s="56" t="s">
        <v>162</v>
      </c>
      <c r="J45" s="67" t="s">
        <v>196</v>
      </c>
      <c r="K45" s="423" t="s">
        <v>159</v>
      </c>
    </row>
    <row r="46" spans="1:11" s="1" customFormat="1" ht="12.75">
      <c r="A46" s="49"/>
      <c r="B46" s="40"/>
      <c r="C46" s="41"/>
      <c r="D46" s="86"/>
      <c r="E46" s="34"/>
      <c r="F46" s="87"/>
      <c r="G46" s="87"/>
      <c r="H46" s="87"/>
      <c r="I46" s="56"/>
      <c r="J46" s="86"/>
      <c r="K46" s="423"/>
    </row>
    <row r="47" spans="1:11" ht="13.5">
      <c r="A47" s="51">
        <f>(ROW(A47)-8)/3</f>
        <v>13</v>
      </c>
      <c r="B47" s="52" t="s">
        <v>138</v>
      </c>
      <c r="C47" s="53">
        <v>24</v>
      </c>
      <c r="D47" s="71" t="str">
        <f>VLOOKUP($C47,DosF2C!$B$7:$E$100,2)</f>
        <v>PENNISI R. / ROSSI A.</v>
      </c>
      <c r="E47" s="72">
        <f>VLOOKUP($C47,DosF2C!$B$7:$E$100,3)</f>
        <v>0</v>
      </c>
      <c r="F47" s="73" t="str">
        <f>VLOOKUP($C47,DosF2C!$B$7:$E$100,4)</f>
        <v>ITA</v>
      </c>
      <c r="G47" s="87" t="s">
        <v>157</v>
      </c>
      <c r="H47" s="87" t="s">
        <v>157</v>
      </c>
      <c r="I47" s="56"/>
      <c r="J47" s="57"/>
      <c r="K47" s="423" t="s">
        <v>197</v>
      </c>
    </row>
    <row r="48" spans="1:11" ht="12.75">
      <c r="A48" s="58">
        <f>A44+2*$A$73</f>
        <v>0.6999999999999998</v>
      </c>
      <c r="B48" s="59" t="s">
        <v>139</v>
      </c>
      <c r="C48" s="60">
        <v>51</v>
      </c>
      <c r="D48" s="74" t="str">
        <f>VLOOKUP($C48,DosF2C!$B$7:$E$100,2)</f>
        <v>WILLOUGHBY S. / OGE B.</v>
      </c>
      <c r="E48" s="75">
        <f>VLOOKUP($C48,DosF2C!$B$7:$E$100,3)</f>
        <v>0</v>
      </c>
      <c r="F48" s="76" t="str">
        <f>VLOOKUP($C48,DosF2C!$B$7:$E$100,4)</f>
        <v>USA</v>
      </c>
      <c r="G48" s="87" t="s">
        <v>157</v>
      </c>
      <c r="H48" s="87" t="s">
        <v>157</v>
      </c>
      <c r="I48" s="56"/>
      <c r="J48" s="63"/>
      <c r="K48" s="423" t="s">
        <v>198</v>
      </c>
    </row>
    <row r="49" spans="1:11" ht="12.75">
      <c r="A49" s="64"/>
      <c r="B49" s="65" t="s">
        <v>140</v>
      </c>
      <c r="C49" s="66">
        <v>28</v>
      </c>
      <c r="D49" s="77" t="str">
        <f>VLOOKUP($C49,DosF2C!$B$7:$E$100,2)</f>
        <v>VENDEL Micha / METKEMEIJER R.</v>
      </c>
      <c r="E49" s="79">
        <f>VLOOKUP($C49,DosF2C!$B$7:$E$100,3)</f>
        <v>0</v>
      </c>
      <c r="F49" s="78" t="str">
        <f>VLOOKUP($C49,DosF2C!$B$7:$E$100,4)</f>
        <v>NED</v>
      </c>
      <c r="G49" s="87" t="s">
        <v>157</v>
      </c>
      <c r="H49" s="87" t="s">
        <v>157</v>
      </c>
      <c r="I49" s="56"/>
      <c r="J49" s="67"/>
      <c r="K49" s="423" t="s">
        <v>199</v>
      </c>
    </row>
    <row r="50" spans="1:11" ht="13.5">
      <c r="A50" s="51">
        <f>(ROW(A50)-8)/3</f>
        <v>14</v>
      </c>
      <c r="B50" s="52" t="s">
        <v>138</v>
      </c>
      <c r="C50" s="53">
        <v>39</v>
      </c>
      <c r="D50" s="71" t="str">
        <f>VLOOKUP($C50,DosF2C!$B$7:$E$100,2)</f>
        <v>LOH P. / CHING M. </v>
      </c>
      <c r="E50" s="72">
        <f>VLOOKUP($C50,DosF2C!$B$7:$E$100,3)</f>
        <v>0</v>
      </c>
      <c r="F50" s="73" t="str">
        <f>VLOOKUP($C50,DosF2C!$B$7:$E$100,4)</f>
        <v>SIN</v>
      </c>
      <c r="G50" s="87"/>
      <c r="H50" s="87"/>
      <c r="I50" s="56"/>
      <c r="J50" s="57"/>
      <c r="K50" s="423" t="s">
        <v>200</v>
      </c>
    </row>
    <row r="51" spans="1:11" ht="12.75">
      <c r="A51" s="58">
        <f>A48+$A$73</f>
        <v>0.7083333333333331</v>
      </c>
      <c r="B51" s="59" t="s">
        <v>139</v>
      </c>
      <c r="C51" s="60">
        <v>31</v>
      </c>
      <c r="D51" s="74" t="str">
        <f>VLOOKUP($C51,DosF2C!$B$7:$E$100,2)</f>
        <v>MORTINHO A. / GOULAO J.</v>
      </c>
      <c r="E51" s="75">
        <f>VLOOKUP($C51,DosF2C!$B$7:$E$100,3)</f>
        <v>0</v>
      </c>
      <c r="F51" s="76" t="str">
        <f>VLOOKUP($C51,DosF2C!$B$7:$E$100,4)</f>
        <v>POR</v>
      </c>
      <c r="G51" s="87" t="s">
        <v>162</v>
      </c>
      <c r="H51" s="87" t="s">
        <v>157</v>
      </c>
      <c r="I51" s="56" t="s">
        <v>162</v>
      </c>
      <c r="J51" s="63"/>
      <c r="K51" s="423" t="s">
        <v>159</v>
      </c>
    </row>
    <row r="52" spans="1:11" ht="12.75">
      <c r="A52" s="64"/>
      <c r="B52" s="65" t="s">
        <v>140</v>
      </c>
      <c r="C52" s="66">
        <v>2</v>
      </c>
      <c r="D52" s="77" t="str">
        <f>VLOOKUP($C52,DosF2C!$B$7:$E$100,2)</f>
        <v>CAMERON P. / FITZGERALD R.</v>
      </c>
      <c r="E52" s="79">
        <f>VLOOKUP($C52,DosF2C!$B$7:$E$100,3)</f>
        <v>0</v>
      </c>
      <c r="F52" s="78" t="str">
        <f>VLOOKUP($C52,DosF2C!$B$7:$E$100,4)</f>
        <v>AUS</v>
      </c>
      <c r="G52" s="87" t="s">
        <v>157</v>
      </c>
      <c r="H52" s="87" t="s">
        <v>157</v>
      </c>
      <c r="I52" s="56"/>
      <c r="J52" s="67"/>
      <c r="K52" s="423" t="s">
        <v>201</v>
      </c>
    </row>
    <row r="53" spans="1:11" ht="13.5">
      <c r="A53" s="51">
        <f>(ROW(A53)-8)/3</f>
        <v>15</v>
      </c>
      <c r="B53" s="52" t="s">
        <v>138</v>
      </c>
      <c r="C53" s="53">
        <v>21</v>
      </c>
      <c r="D53" s="71" t="str">
        <f>VLOOKUP($C53,DosF2C!$B$7:$E$100,2)</f>
        <v>SMITH S. / BROWN C.</v>
      </c>
      <c r="E53" s="72">
        <f>VLOOKUP($C53,DosF2C!$B$7:$E$100,3)</f>
        <v>0</v>
      </c>
      <c r="F53" s="73" t="str">
        <f>VLOOKUP($C53,DosF2C!$B$7:$E$100,4)</f>
        <v>GBR</v>
      </c>
      <c r="G53" s="87"/>
      <c r="H53" s="87"/>
      <c r="I53" s="56"/>
      <c r="J53" s="57" t="s">
        <v>158</v>
      </c>
      <c r="K53" s="423"/>
    </row>
    <row r="54" spans="1:11" ht="12.75">
      <c r="A54" s="58">
        <f>A51+$A$73</f>
        <v>0.7166666666666665</v>
      </c>
      <c r="B54" s="59" t="s">
        <v>139</v>
      </c>
      <c r="C54" s="60">
        <v>29</v>
      </c>
      <c r="D54" s="74" t="str">
        <f>VLOOKUP($C54,DosF2C!$B$7:$E$100,2)</f>
        <v>ZUCHOWSKI M. / DABROWSKI K.</v>
      </c>
      <c r="E54" s="75" t="str">
        <f>VLOOKUP($C54,DosF2C!$B$7:$E$100,3)</f>
        <v>Jun</v>
      </c>
      <c r="F54" s="76" t="str">
        <f>VLOOKUP($C54,DosF2C!$B$7:$E$100,4)</f>
        <v>POL</v>
      </c>
      <c r="G54" s="87" t="s">
        <v>202</v>
      </c>
      <c r="H54" s="87"/>
      <c r="I54" s="56"/>
      <c r="J54" s="63" t="s">
        <v>177</v>
      </c>
      <c r="K54" s="423" t="s">
        <v>159</v>
      </c>
    </row>
    <row r="55" spans="1:11" ht="12.75">
      <c r="A55" s="64"/>
      <c r="B55" s="65" t="s">
        <v>140</v>
      </c>
      <c r="C55" s="66">
        <v>46</v>
      </c>
      <c r="D55" s="77" t="str">
        <f>VLOOKUP($C55,DosF2C!$B$7:$E$100,2)</f>
        <v>BEZMERTNY Y. / FULITKA V.</v>
      </c>
      <c r="E55" s="79">
        <f>VLOOKUP($C55,DosF2C!$B$7:$E$100,3)</f>
        <v>0</v>
      </c>
      <c r="F55" s="78" t="str">
        <f>VLOOKUP($C55,DosF2C!$B$7:$E$100,4)</f>
        <v>UKR</v>
      </c>
      <c r="G55" s="87" t="s">
        <v>157</v>
      </c>
      <c r="H55" s="87"/>
      <c r="I55" s="56"/>
      <c r="J55" s="67" t="s">
        <v>158</v>
      </c>
      <c r="K55" s="423"/>
    </row>
    <row r="56" spans="1:11" ht="13.5">
      <c r="A56" s="51">
        <f>(ROW(A56)-8)/3</f>
        <v>16</v>
      </c>
      <c r="B56" s="52" t="s">
        <v>138</v>
      </c>
      <c r="C56" s="53">
        <v>44</v>
      </c>
      <c r="D56" s="71" t="str">
        <f>VLOOKUP($C56,DosF2C!$B$7:$E$100,2)</f>
        <v>GIGER P. / STUDER H.</v>
      </c>
      <c r="E56" s="72">
        <f>VLOOKUP($C56,DosF2C!$B$7:$E$100,3)</f>
        <v>0</v>
      </c>
      <c r="F56" s="73" t="str">
        <f>VLOOKUP($C56,DosF2C!$B$7:$E$100,4)</f>
        <v>SUI</v>
      </c>
      <c r="G56" s="87" t="s">
        <v>157</v>
      </c>
      <c r="H56" s="87" t="s">
        <v>157</v>
      </c>
      <c r="I56" s="56" t="s">
        <v>182</v>
      </c>
      <c r="J56" s="57"/>
      <c r="K56" s="423" t="s">
        <v>159</v>
      </c>
    </row>
    <row r="57" spans="1:11" ht="12.75">
      <c r="A57" s="58">
        <f>A54+$A$73</f>
        <v>0.7249999999999998</v>
      </c>
      <c r="B57" s="59" t="s">
        <v>139</v>
      </c>
      <c r="C57" s="60">
        <v>13</v>
      </c>
      <c r="D57" s="74" t="str">
        <f>VLOOKUP($C57,DosF2C!$B$7:$E$100,2)</f>
        <v>MARET J. / PERRET J.P.</v>
      </c>
      <c r="E57" s="75">
        <f>VLOOKUP($C57,DosF2C!$B$7:$E$100,3)</f>
        <v>0</v>
      </c>
      <c r="F57" s="76" t="str">
        <f>VLOOKUP($C57,DosF2C!$B$7:$E$100,4)</f>
        <v>FRA</v>
      </c>
      <c r="G57" s="87" t="s">
        <v>157</v>
      </c>
      <c r="H57" s="87" t="s">
        <v>157</v>
      </c>
      <c r="I57" s="56"/>
      <c r="J57" s="63" t="s">
        <v>203</v>
      </c>
      <c r="K57" s="423" t="s">
        <v>204</v>
      </c>
    </row>
    <row r="58" spans="1:11" ht="12.75">
      <c r="A58" s="64"/>
      <c r="B58" s="65" t="s">
        <v>140</v>
      </c>
      <c r="C58" s="66">
        <v>4</v>
      </c>
      <c r="D58" s="74" t="str">
        <f>VLOOKUP($C58,DosF2C!$B$7:$E$100,2)</f>
        <v>WILSON G. / STEIN P.</v>
      </c>
      <c r="E58" s="79"/>
      <c r="F58" s="76" t="str">
        <f>VLOOKUP($C58,DosF2C!$B$7:$E$100,4)</f>
        <v>AUS</v>
      </c>
      <c r="G58" s="87" t="s">
        <v>162</v>
      </c>
      <c r="H58" s="87" t="s">
        <v>157</v>
      </c>
      <c r="I58" s="56"/>
      <c r="J58" s="67"/>
      <c r="K58" s="423" t="s">
        <v>175</v>
      </c>
    </row>
    <row r="59" spans="1:11" ht="13.5">
      <c r="A59" s="51">
        <f>(ROW(A59)-8)/3</f>
        <v>17</v>
      </c>
      <c r="B59" s="52" t="s">
        <v>138</v>
      </c>
      <c r="C59" s="53">
        <v>9</v>
      </c>
      <c r="D59" s="71" t="str">
        <f>VLOOKUP($C59,DosF2C!$B$7:$E$100,2)</f>
        <v>JAREBEK J. / PARENT K.</v>
      </c>
      <c r="E59" s="72">
        <f>VLOOKUP($C59,DosF2C!$B$7:$E$100,3)</f>
        <v>0</v>
      </c>
      <c r="F59" s="73" t="str">
        <f>VLOOKUP($C59,DosF2C!$B$7:$E$100,4)</f>
        <v>CAN</v>
      </c>
      <c r="G59" s="87" t="s">
        <v>202</v>
      </c>
      <c r="H59" s="87" t="s">
        <v>157</v>
      </c>
      <c r="I59" s="56"/>
      <c r="J59" s="57"/>
      <c r="K59" s="423" t="s">
        <v>205</v>
      </c>
    </row>
    <row r="60" spans="1:11" ht="12.75">
      <c r="A60" s="58">
        <f>A57+$A$73</f>
        <v>0.7333333333333331</v>
      </c>
      <c r="B60" s="59" t="s">
        <v>139</v>
      </c>
      <c r="C60" s="60">
        <v>11</v>
      </c>
      <c r="D60" s="74" t="str">
        <f>VLOOKUP($C60,DosF2C!$B$7:$E$100,2)</f>
        <v>CRESPI M. / CRESPI P.</v>
      </c>
      <c r="E60" s="75">
        <f>VLOOKUP($C60,DosF2C!$B$7:$E$100,3)</f>
        <v>0</v>
      </c>
      <c r="F60" s="76" t="str">
        <f>VLOOKUP($C60,DosF2C!$B$7:$E$100,4)</f>
        <v>ESP</v>
      </c>
      <c r="G60" s="87" t="s">
        <v>162</v>
      </c>
      <c r="H60" s="87" t="s">
        <v>157</v>
      </c>
      <c r="I60" s="56" t="s">
        <v>162</v>
      </c>
      <c r="J60" s="63"/>
      <c r="K60" s="423" t="s">
        <v>159</v>
      </c>
    </row>
    <row r="61" spans="1:11" ht="12.75">
      <c r="A61" s="64"/>
      <c r="B61" s="65" t="s">
        <v>140</v>
      </c>
      <c r="C61" s="66">
        <v>34</v>
      </c>
      <c r="D61" s="74" t="str">
        <f>VLOOKUP($C61,DosF2C!$B$7:$E$100,2)</f>
        <v>TITOV V. / JOUGOV V.</v>
      </c>
      <c r="E61" s="75">
        <f>VLOOKUP($C61,DosF2C!$B$7:$E$100,3)</f>
        <v>0</v>
      </c>
      <c r="F61" s="76" t="str">
        <f>VLOOKUP($C61,DosF2C!$B$7:$E$100,4)</f>
        <v>RUS</v>
      </c>
      <c r="G61" s="87"/>
      <c r="H61" s="87"/>
      <c r="I61" s="56"/>
      <c r="J61" s="67"/>
      <c r="K61" s="423" t="s">
        <v>176</v>
      </c>
    </row>
    <row r="62" spans="1:11" ht="13.5">
      <c r="A62" s="51">
        <f>(ROW(A62)-8)/3</f>
        <v>18</v>
      </c>
      <c r="B62" s="52" t="s">
        <v>138</v>
      </c>
      <c r="C62" s="53">
        <v>32</v>
      </c>
      <c r="D62" s="74" t="str">
        <f>VLOOKUP($C62,DosF2C!$B$7:$E$100,2)</f>
        <v>CHABACHOV J. / MOSKALEEV S.</v>
      </c>
      <c r="E62" s="75">
        <f>VLOOKUP($C62,DosF2C!$B$7:$E$100,3)</f>
        <v>0</v>
      </c>
      <c r="F62" s="76" t="str">
        <f>VLOOKUP($C62,DosF2C!$B$7:$E$100,4)</f>
        <v>RUS</v>
      </c>
      <c r="G62" s="87" t="s">
        <v>162</v>
      </c>
      <c r="H62" s="87"/>
      <c r="I62" s="56"/>
      <c r="J62" s="57"/>
      <c r="K62" s="423" t="s">
        <v>206</v>
      </c>
    </row>
    <row r="63" spans="1:11" ht="12.75">
      <c r="A63" s="58">
        <f>A60+$A$73</f>
        <v>0.7416666666666664</v>
      </c>
      <c r="B63" s="59" t="s">
        <v>139</v>
      </c>
      <c r="C63" s="60">
        <v>41</v>
      </c>
      <c r="D63" s="74" t="str">
        <f>VLOOKUP($C63,DosF2C!$B$7:$E$100,2)</f>
        <v>GUSTAFSSON J. / BJÖHOLM S.</v>
      </c>
      <c r="E63" s="75">
        <f>VLOOKUP($C63,DosF2C!$B$7:$E$100,3)</f>
        <v>0</v>
      </c>
      <c r="F63" s="76" t="str">
        <f>VLOOKUP($C63,DosF2C!$B$7:$E$100,4)</f>
        <v>SWE</v>
      </c>
      <c r="G63" s="87" t="s">
        <v>157</v>
      </c>
      <c r="H63" s="87" t="s">
        <v>162</v>
      </c>
      <c r="I63" s="56"/>
      <c r="J63" s="63"/>
      <c r="K63" s="423" t="s">
        <v>207</v>
      </c>
    </row>
    <row r="64" spans="1:11" ht="12.75">
      <c r="A64" s="64"/>
      <c r="B64" s="65" t="s">
        <v>140</v>
      </c>
      <c r="C64" s="66">
        <v>10</v>
      </c>
      <c r="D64" s="74" t="str">
        <f>VLOOKUP($C64,DosF2C!$B$7:$E$100,2)</f>
        <v>BARRAGAN A. / BARRAGAN J.</v>
      </c>
      <c r="E64" s="75">
        <f>VLOOKUP($C64,DosF2C!$B$7:$E$100,3)</f>
        <v>0</v>
      </c>
      <c r="F64" s="76" t="str">
        <f>VLOOKUP($C64,DosF2C!$B$7:$E$100,4)</f>
        <v>ESP</v>
      </c>
      <c r="G64" s="87" t="s">
        <v>161</v>
      </c>
      <c r="H64" s="87" t="s">
        <v>182</v>
      </c>
      <c r="I64" s="56"/>
      <c r="J64" s="67"/>
      <c r="K64" s="423" t="s">
        <v>181</v>
      </c>
    </row>
    <row r="65" spans="1:11" s="1" customFormat="1" ht="12.75">
      <c r="A65" s="49"/>
      <c r="B65" s="40"/>
      <c r="C65" s="41"/>
      <c r="D65" s="86"/>
      <c r="E65" s="34"/>
      <c r="F65" s="87"/>
      <c r="G65" s="87"/>
      <c r="H65" s="87"/>
      <c r="I65" s="56"/>
      <c r="J65" s="86"/>
      <c r="K65" s="423"/>
    </row>
    <row r="66" spans="1:11" ht="13.5">
      <c r="A66" s="51">
        <f>(ROW(A66)-9)/3</f>
        <v>19</v>
      </c>
      <c r="B66" s="52" t="s">
        <v>138</v>
      </c>
      <c r="C66" s="53">
        <v>46</v>
      </c>
      <c r="D66" s="74" t="str">
        <f>VLOOKUP($C66,DosF2C!$B$7:$E$100,2)</f>
        <v>BEZMERTNY Y. / FULITKA V.</v>
      </c>
      <c r="E66" s="75">
        <f>VLOOKUP($C66,DosF2C!$B$7:$E$100,3)</f>
        <v>0</v>
      </c>
      <c r="F66" s="76" t="str">
        <f>VLOOKUP($C66,DosF2C!$B$7:$E$100,4)</f>
        <v>UKR</v>
      </c>
      <c r="G66" s="87" t="s">
        <v>160</v>
      </c>
      <c r="H66" s="87" t="s">
        <v>157</v>
      </c>
      <c r="I66" s="56"/>
      <c r="J66" s="57"/>
      <c r="K66" s="423" t="s">
        <v>209</v>
      </c>
    </row>
    <row r="67" spans="1:11" ht="12.75">
      <c r="A67" s="58">
        <f>A63+2*$A$73</f>
        <v>0.7583333333333331</v>
      </c>
      <c r="B67" s="59" t="s">
        <v>139</v>
      </c>
      <c r="C67" s="60">
        <v>21</v>
      </c>
      <c r="D67" s="74" t="str">
        <f>VLOOKUP($C67,DosF2C!$B$7:$E$100,2)</f>
        <v>SMITH S. / BROWN C.</v>
      </c>
      <c r="E67" s="75">
        <f>VLOOKUP($C67,DosF2C!$B$7:$E$100,3)</f>
        <v>0</v>
      </c>
      <c r="F67" s="76" t="str">
        <f>VLOOKUP($C67,DosF2C!$B$7:$E$100,4)</f>
        <v>GBR</v>
      </c>
      <c r="G67" s="87" t="s">
        <v>162</v>
      </c>
      <c r="H67" s="87" t="s">
        <v>162</v>
      </c>
      <c r="I67" s="56"/>
      <c r="J67" s="63"/>
      <c r="K67" s="423" t="s">
        <v>208</v>
      </c>
    </row>
    <row r="68" spans="1:11" ht="12.75">
      <c r="A68" s="64"/>
      <c r="B68" s="65" t="s">
        <v>140</v>
      </c>
      <c r="C68" s="66"/>
      <c r="D68" s="77"/>
      <c r="E68" s="79"/>
      <c r="F68" s="78"/>
      <c r="G68" s="87"/>
      <c r="H68" s="87"/>
      <c r="I68" s="56"/>
      <c r="J68" s="67"/>
      <c r="K68" s="423"/>
    </row>
    <row r="69" spans="1:11" ht="13.5">
      <c r="A69" s="51">
        <f>(ROW(A69)-9)/3</f>
        <v>20</v>
      </c>
      <c r="B69" s="52" t="s">
        <v>138</v>
      </c>
      <c r="C69" s="53"/>
      <c r="D69" s="71"/>
      <c r="E69" s="72"/>
      <c r="F69" s="73"/>
      <c r="G69" s="87"/>
      <c r="H69" s="87"/>
      <c r="I69" s="56"/>
      <c r="J69" s="57"/>
      <c r="K69" s="423"/>
    </row>
    <row r="70" spans="1:11" ht="12.75">
      <c r="A70" s="58">
        <f>A67+$A$73</f>
        <v>0.7666666666666664</v>
      </c>
      <c r="B70" s="59" t="s">
        <v>139</v>
      </c>
      <c r="C70" s="60"/>
      <c r="D70" s="74"/>
      <c r="E70" s="75"/>
      <c r="F70" s="76"/>
      <c r="G70" s="87"/>
      <c r="H70" s="87"/>
      <c r="I70" s="56"/>
      <c r="J70" s="63"/>
      <c r="K70" s="423"/>
    </row>
    <row r="71" spans="1:11" ht="12.75">
      <c r="A71" s="64"/>
      <c r="B71" s="65" t="s">
        <v>140</v>
      </c>
      <c r="C71" s="66"/>
      <c r="D71" s="77"/>
      <c r="E71" s="79"/>
      <c r="F71" s="78"/>
      <c r="G71" s="87"/>
      <c r="H71" s="87"/>
      <c r="I71" s="56"/>
      <c r="J71" s="67"/>
      <c r="K71" s="423"/>
    </row>
    <row r="73" spans="1:3" ht="12.75">
      <c r="A73" s="69">
        <v>0.008333333333333333</v>
      </c>
      <c r="C73" s="70" t="s">
        <v>141</v>
      </c>
    </row>
  </sheetData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"/>
  <sheetViews>
    <sheetView workbookViewId="0" topLeftCell="A1">
      <selection activeCell="X18" sqref="X18"/>
    </sheetView>
  </sheetViews>
  <sheetFormatPr defaultColWidth="9.140625" defaultRowHeight="12.75"/>
  <cols>
    <col min="1" max="1" width="5.28125" style="0" customWidth="1"/>
    <col min="2" max="2" width="4.8515625" style="22" customWidth="1"/>
    <col min="3" max="3" width="33.140625" style="1" customWidth="1"/>
    <col min="4" max="4" width="5.140625" style="90" customWidth="1"/>
    <col min="5" max="5" width="8.8515625" style="2" customWidth="1"/>
    <col min="6" max="6" width="2.28125" style="162" customWidth="1"/>
    <col min="7" max="7" width="1.7109375" style="160" customWidth="1"/>
    <col min="8" max="8" width="6.7109375" style="161" customWidth="1"/>
    <col min="9" max="9" width="2.28125" style="162" customWidth="1"/>
    <col min="10" max="10" width="1.7109375" style="160" customWidth="1"/>
    <col min="11" max="11" width="6.7109375" style="161" customWidth="1"/>
    <col min="12" max="12" width="2.7109375" style="162" customWidth="1"/>
    <col min="13" max="13" width="1.7109375" style="160" customWidth="1"/>
    <col min="14" max="14" width="7.7109375" style="161" customWidth="1"/>
    <col min="15" max="15" width="2.7109375" style="0" customWidth="1"/>
    <col min="16" max="16" width="5.00390625" style="0" customWidth="1"/>
    <col min="17" max="23" width="2.7109375" style="0" customWidth="1"/>
    <col min="24" max="24" width="10.7109375" style="148" customWidth="1"/>
    <col min="25" max="25" width="11.421875" style="0" customWidth="1"/>
    <col min="26" max="26" width="6.7109375" style="0" customWidth="1"/>
    <col min="27" max="27" width="11.421875" style="0" customWidth="1"/>
    <col min="28" max="28" width="14.28125" style="0" customWidth="1"/>
    <col min="29" max="29" width="3.140625" style="0" customWidth="1"/>
    <col min="30" max="30" width="8.57421875" style="0" customWidth="1"/>
    <col min="31" max="16384" width="11.421875" style="0" customWidth="1"/>
  </cols>
  <sheetData>
    <row r="1" spans="6:24" ht="3" customHeight="1">
      <c r="F1" s="91"/>
      <c r="G1" s="92"/>
      <c r="H1" s="93"/>
      <c r="I1" s="91"/>
      <c r="J1" s="92"/>
      <c r="K1" s="93"/>
      <c r="L1" s="91"/>
      <c r="M1" s="92"/>
      <c r="N1" s="93"/>
      <c r="X1" s="150"/>
    </row>
    <row r="2" spans="3:24" ht="15">
      <c r="C2" s="37" t="s">
        <v>82</v>
      </c>
      <c r="E2"/>
      <c r="F2"/>
      <c r="G2"/>
      <c r="H2"/>
      <c r="I2" s="91"/>
      <c r="J2" s="92"/>
      <c r="K2" s="93"/>
      <c r="L2" s="91"/>
      <c r="M2" s="92"/>
      <c r="N2" s="93"/>
      <c r="P2" s="299"/>
      <c r="Q2" s="259"/>
      <c r="X2" s="150"/>
    </row>
    <row r="3" spans="5:24" ht="6" customHeight="1">
      <c r="E3" s="3"/>
      <c r="F3" s="91"/>
      <c r="G3" s="92"/>
      <c r="H3" s="93"/>
      <c r="I3" s="91"/>
      <c r="J3" s="92"/>
      <c r="K3" s="103"/>
      <c r="L3" s="91"/>
      <c r="M3" s="92"/>
      <c r="N3" s="93"/>
      <c r="X3"/>
    </row>
    <row r="4" spans="2:24" ht="12.75">
      <c r="B4" s="35"/>
      <c r="C4" s="104" t="s">
        <v>99</v>
      </c>
      <c r="E4" s="89"/>
      <c r="F4" s="91"/>
      <c r="G4" s="21"/>
      <c r="H4" s="105"/>
      <c r="I4" s="91"/>
      <c r="J4" s="21"/>
      <c r="K4" s="105"/>
      <c r="L4" s="91"/>
      <c r="M4" s="21"/>
      <c r="N4" s="105"/>
      <c r="X4"/>
    </row>
    <row r="5" spans="2:24" ht="12.75">
      <c r="B5" s="35"/>
      <c r="C5" s="151"/>
      <c r="E5" s="89"/>
      <c r="F5" s="91"/>
      <c r="G5" s="21"/>
      <c r="H5" s="105"/>
      <c r="I5" s="91"/>
      <c r="J5" s="21"/>
      <c r="K5" s="105"/>
      <c r="L5" s="91"/>
      <c r="M5" s="21"/>
      <c r="N5" s="105"/>
      <c r="X5"/>
    </row>
    <row r="6" spans="1:24" ht="3" customHeight="1">
      <c r="A6" s="226"/>
      <c r="B6" s="225"/>
      <c r="C6" s="112"/>
      <c r="D6" s="113"/>
      <c r="E6" s="113"/>
      <c r="F6" s="117"/>
      <c r="G6" s="118"/>
      <c r="H6" s="119"/>
      <c r="I6" s="117"/>
      <c r="J6" s="118"/>
      <c r="K6" s="119"/>
      <c r="L6" s="152"/>
      <c r="M6" s="118"/>
      <c r="N6" s="119"/>
      <c r="X6"/>
    </row>
    <row r="7" spans="1:30" ht="13.5">
      <c r="A7" s="227" t="s">
        <v>84</v>
      </c>
      <c r="B7" s="25" t="s">
        <v>4</v>
      </c>
      <c r="C7" s="6" t="s">
        <v>5</v>
      </c>
      <c r="D7" s="123"/>
      <c r="E7" s="7" t="s">
        <v>3</v>
      </c>
      <c r="F7" s="127"/>
      <c r="G7" s="125" t="s">
        <v>93</v>
      </c>
      <c r="H7" s="126"/>
      <c r="I7" s="124"/>
      <c r="J7" s="125" t="s">
        <v>94</v>
      </c>
      <c r="K7" s="126"/>
      <c r="L7" s="153"/>
      <c r="M7" s="125" t="s">
        <v>95</v>
      </c>
      <c r="N7" s="126"/>
      <c r="X7" s="2" t="s">
        <v>96</v>
      </c>
      <c r="Y7" s="2" t="s">
        <v>97</v>
      </c>
      <c r="Z7" s="2"/>
      <c r="AA7" s="2" t="s">
        <v>100</v>
      </c>
      <c r="AB7" s="2" t="s">
        <v>101</v>
      </c>
      <c r="AC7" s="2"/>
      <c r="AD7" s="2" t="s">
        <v>98</v>
      </c>
    </row>
    <row r="8" spans="1:27" ht="3" customHeight="1">
      <c r="A8" s="228"/>
      <c r="B8" s="27"/>
      <c r="C8" s="131"/>
      <c r="D8" s="20"/>
      <c r="E8" s="20"/>
      <c r="F8" s="132"/>
      <c r="G8" s="133"/>
      <c r="H8" s="134"/>
      <c r="I8" s="132"/>
      <c r="J8" s="133"/>
      <c r="K8" s="134"/>
      <c r="L8" s="135"/>
      <c r="M8" s="133"/>
      <c r="N8" s="134"/>
      <c r="X8" s="109"/>
      <c r="Y8" s="109"/>
      <c r="Z8" s="109"/>
      <c r="AA8" s="109"/>
    </row>
    <row r="9" spans="1:30" ht="13.5">
      <c r="A9" s="368">
        <f>IF((ROW(A9)-ROW(A$8))&gt;'Semi-Results'!$P$2,"",ROW(A9)-ROW(A$8))</f>
        <v>1</v>
      </c>
      <c r="B9" s="136">
        <f>'Semi-Results'!$B11</f>
        <v>13</v>
      </c>
      <c r="C9" s="29" t="str">
        <f>'Semi-Results'!$C11</f>
        <v>MARET J. / PERRET J.P.</v>
      </c>
      <c r="D9" s="137">
        <f>'Semi-Results'!$D11</f>
        <v>0</v>
      </c>
      <c r="E9" s="149" t="str">
        <f>'Semi-Results'!$E11</f>
        <v>FRA</v>
      </c>
      <c r="F9" s="257">
        <f aca="true" t="shared" si="0" ref="F9:F22">IF($X9="","",IF($X9=1000000,"",IF($X9=10000,0,IF($X9&gt;9000,"",INT($X9/60)))))</f>
        <v>3</v>
      </c>
      <c r="G9" s="262" t="str">
        <f aca="true" t="shared" si="1" ref="G9:G22">IF($X9="","",IF($X9=1000000,"",IF($X9=10000,":",IF($X9&gt;9000,"",":"))))</f>
        <v>:</v>
      </c>
      <c r="H9" s="252">
        <f aca="true" t="shared" si="2" ref="H9:H23">IF($X9="","",IF($X9=1000000,"DISQ",IF($X9&gt;9000,10000-$X9,$X9-INT($X9/60)*60)))</f>
        <v>12.400000000000006</v>
      </c>
      <c r="I9" s="343"/>
      <c r="J9" s="327"/>
      <c r="K9" s="364">
        <f aca="true" t="shared" si="3" ref="K9:K23">IF($Y9="","",IF($Y9=1000000,"DISQ",IF($Y9&gt;9000,10000-$Y9,$Y9-INT($Y9/60)*60)))</f>
        <v>0</v>
      </c>
      <c r="L9" s="343">
        <f aca="true" t="shared" si="4" ref="L9:L23">IF($AD9="","",IF($AD9=1000000,"",IF($AD9=10000,0,IF($AD9&gt;9000,"",INT($AD9/60)))))</f>
      </c>
      <c r="M9" s="327">
        <f aca="true" t="shared" si="5" ref="M9:M23">IF($AD9="","",IF($AD9=1000000,"",IF($AD9=10000,":",IF($AD9&gt;9000,"",":"))))</f>
      </c>
      <c r="N9" s="140">
        <f aca="true" t="shared" si="6" ref="N9:N23">IF($AD9="","",IF($AD9=1000000,"DISQ",IF($AD9&gt;9000,10000-$AD9,$AD9-INT($AD9/60)*60)))</f>
      </c>
      <c r="X9" s="142">
        <f>'Semi-Results'!X11</f>
        <v>192.4</v>
      </c>
      <c r="Y9" s="142">
        <f>'Semi-Results'!Y11</f>
        <v>10000</v>
      </c>
      <c r="Z9" s="142"/>
      <c r="AA9" s="142">
        <f>IF($A9&gt;'Semi-Results'!$P$2,"",MIN($X9,$Y9))</f>
        <v>192.4</v>
      </c>
      <c r="AB9" s="142">
        <f>IF($A9&gt;'Semi-Results'!$P$2,"",MAX($X9,$Y9))</f>
        <v>10000</v>
      </c>
      <c r="AC9" s="142"/>
      <c r="AD9" s="142">
        <f>'Semi-Results'!AD11</f>
      </c>
    </row>
    <row r="10" spans="1:30" ht="13.5">
      <c r="A10" s="369">
        <f>IF((ROW(A10)-ROW(A$8))&gt;'Semi-Results'!$P$2,"",ROW(A10)-ROW(A$8))</f>
        <v>2</v>
      </c>
      <c r="B10" s="136">
        <f>'Semi-Results'!$B19</f>
        <v>32</v>
      </c>
      <c r="C10" s="29" t="str">
        <f>'Semi-Results'!$C19</f>
        <v>CHABACHOV J. / MOSKALEEV S.</v>
      </c>
      <c r="D10" s="137">
        <f>'Semi-Results'!$D19</f>
        <v>0</v>
      </c>
      <c r="E10" s="149" t="str">
        <f>'Semi-Results'!$E19</f>
        <v>RUS</v>
      </c>
      <c r="F10" s="343">
        <f t="shared" si="0"/>
        <v>3</v>
      </c>
      <c r="G10" s="327" t="str">
        <f t="shared" si="1"/>
        <v>:</v>
      </c>
      <c r="H10" s="140">
        <f t="shared" si="2"/>
        <v>13</v>
      </c>
      <c r="I10" s="343">
        <f aca="true" t="shared" si="7" ref="I10:I18">IF($Y10="","",IF($Y10=1000000,"",IF($Y10=10000,0,IF($Y10&gt;9000,"",INT($Y10/60)))))</f>
        <v>3</v>
      </c>
      <c r="J10" s="327" t="str">
        <f aca="true" t="shared" si="8" ref="J10:J18">IF($Y10="","",IF($Y10=1000000,"",IF($Y10=10000,":",IF($Y10&gt;9000,"",":"))))</f>
        <v>:</v>
      </c>
      <c r="K10" s="140">
        <f t="shared" si="3"/>
        <v>35.599999999999994</v>
      </c>
      <c r="L10" s="343">
        <f t="shared" si="4"/>
      </c>
      <c r="M10" s="327">
        <f t="shared" si="5"/>
      </c>
      <c r="N10" s="140">
        <f t="shared" si="6"/>
      </c>
      <c r="X10" s="142">
        <f>'Semi-Results'!X19</f>
        <v>193</v>
      </c>
      <c r="Y10" s="142">
        <f>'Semi-Results'!Y19</f>
        <v>215.6</v>
      </c>
      <c r="Z10" s="142"/>
      <c r="AA10" s="142">
        <f>IF($A10&gt;'Semi-Results'!$P$2,"",MIN($X10,$Y10))</f>
        <v>193</v>
      </c>
      <c r="AB10" s="142">
        <f>IF($A10&gt;'Semi-Results'!$P$2,"",MAX($X10,$Y10))</f>
        <v>215.6</v>
      </c>
      <c r="AC10" s="142"/>
      <c r="AD10" s="142">
        <f>'Semi-Results'!AD19</f>
      </c>
    </row>
    <row r="11" spans="1:30" ht="13.5">
      <c r="A11" s="369">
        <f>IF((ROW(A11)-ROW(A$8))&gt;'Semi-Results'!$P$2,"",ROW(A11)-ROW(A$8))</f>
        <v>3</v>
      </c>
      <c r="B11" s="136">
        <f>'Semi-Results'!$B21</f>
        <v>45</v>
      </c>
      <c r="C11" s="29" t="str">
        <f>'Semi-Results'!$C21</f>
        <v>BONDARENKO Y. / LERNER S.</v>
      </c>
      <c r="D11" s="137">
        <f>'Semi-Results'!$D21</f>
        <v>0</v>
      </c>
      <c r="E11" s="149" t="str">
        <f>'Semi-Results'!$E21</f>
        <v>UKR</v>
      </c>
      <c r="F11" s="343">
        <f t="shared" si="0"/>
        <v>3</v>
      </c>
      <c r="G11" s="327" t="str">
        <f t="shared" si="1"/>
        <v>:</v>
      </c>
      <c r="H11" s="140">
        <f t="shared" si="2"/>
        <v>27.69999999999999</v>
      </c>
      <c r="I11" s="343">
        <f t="shared" si="7"/>
        <v>3</v>
      </c>
      <c r="J11" s="327" t="str">
        <f t="shared" si="8"/>
        <v>:</v>
      </c>
      <c r="K11" s="140">
        <f t="shared" si="3"/>
        <v>13.5</v>
      </c>
      <c r="L11" s="343">
        <f t="shared" si="4"/>
      </c>
      <c r="M11" s="327">
        <f t="shared" si="5"/>
      </c>
      <c r="N11" s="140">
        <f t="shared" si="6"/>
      </c>
      <c r="X11" s="142">
        <f>'Semi-Results'!X21</f>
        <v>207.7</v>
      </c>
      <c r="Y11" s="142">
        <f>'Semi-Results'!Y21</f>
        <v>193.5</v>
      </c>
      <c r="Z11" s="142"/>
      <c r="AA11" s="142">
        <f>IF($A11&gt;'Semi-Results'!$P$2,"",MIN($X11,$Y11))</f>
        <v>193.5</v>
      </c>
      <c r="AB11" s="142">
        <f>IF($A11&gt;'Semi-Results'!$P$2,"",MAX($X11,$Y11))</f>
        <v>207.7</v>
      </c>
      <c r="AC11" s="142"/>
      <c r="AD11" s="142">
        <f>'Semi-Results'!AD21</f>
      </c>
    </row>
    <row r="12" spans="1:30" ht="12.75">
      <c r="A12" s="304">
        <f>IF((ROW(A12)-ROW(A$8))&gt;'Semi-Results'!$P$2,"",ROW(A12)-ROW(A$8))</f>
        <v>4</v>
      </c>
      <c r="B12" s="136">
        <f>'Semi-Results'!$B13</f>
        <v>15</v>
      </c>
      <c r="C12" s="29" t="str">
        <f>'Semi-Results'!$C13</f>
        <v>SURUGUE P. / SURUGUE G.</v>
      </c>
      <c r="D12" s="137">
        <f>'Semi-Results'!$D13</f>
        <v>0</v>
      </c>
      <c r="E12" s="149" t="str">
        <f>'Semi-Results'!$E13</f>
        <v>FRA</v>
      </c>
      <c r="F12" s="343">
        <f t="shared" si="0"/>
        <v>3</v>
      </c>
      <c r="G12" s="327" t="str">
        <f t="shared" si="1"/>
        <v>:</v>
      </c>
      <c r="H12" s="140">
        <f t="shared" si="2"/>
        <v>14.099999999999994</v>
      </c>
      <c r="I12" s="343">
        <f t="shared" si="7"/>
        <v>3</v>
      </c>
      <c r="J12" s="327" t="str">
        <f t="shared" si="8"/>
        <v>:</v>
      </c>
      <c r="K12" s="140">
        <f t="shared" si="3"/>
        <v>16.19999999999999</v>
      </c>
      <c r="L12" s="343">
        <f t="shared" si="4"/>
      </c>
      <c r="M12" s="327">
        <f t="shared" si="5"/>
      </c>
      <c r="N12" s="140">
        <f t="shared" si="6"/>
      </c>
      <c r="X12" s="142">
        <f>'Semi-Results'!X13</f>
        <v>194.1</v>
      </c>
      <c r="Y12" s="142">
        <f>'Semi-Results'!Y13</f>
        <v>196.2</v>
      </c>
      <c r="Z12" s="142"/>
      <c r="AA12" s="142">
        <f>IF($A12&gt;'Semi-Results'!$P$2,"",MIN($X12,$Y12))</f>
        <v>194.1</v>
      </c>
      <c r="AB12" s="142">
        <f>IF($A12&gt;'Semi-Results'!$P$2,"",MAX($X12,$Y12))</f>
        <v>196.2</v>
      </c>
      <c r="AC12" s="142"/>
      <c r="AD12" s="142">
        <f>'Semi-Results'!AD13</f>
      </c>
    </row>
    <row r="13" spans="1:30" ht="13.5">
      <c r="A13" s="369">
        <f>IF((ROW(A13)-ROW(A$8))&gt;'Semi-Results'!$P$2,"",ROW(A13)-ROW(A$8))</f>
        <v>5</v>
      </c>
      <c r="B13" s="136">
        <f>'Semi-Results'!$B10</f>
        <v>5</v>
      </c>
      <c r="C13" s="29" t="str">
        <f>'Semi-Results'!$C10</f>
        <v>FISCHER J. / STRANIAK H.</v>
      </c>
      <c r="D13" s="137">
        <f>'Semi-Results'!$D10</f>
        <v>0</v>
      </c>
      <c r="E13" s="149" t="str">
        <f>'Semi-Results'!$E10</f>
        <v>AUT</v>
      </c>
      <c r="F13" s="343">
        <f t="shared" si="0"/>
        <v>3</v>
      </c>
      <c r="G13" s="327" t="str">
        <f t="shared" si="1"/>
        <v>:</v>
      </c>
      <c r="H13" s="140">
        <f t="shared" si="2"/>
        <v>16.599999999999994</v>
      </c>
      <c r="I13" s="343">
        <f t="shared" si="7"/>
        <v>3</v>
      </c>
      <c r="J13" s="327" t="str">
        <f t="shared" si="8"/>
        <v>:</v>
      </c>
      <c r="K13" s="140">
        <f t="shared" si="3"/>
        <v>14.900000000000006</v>
      </c>
      <c r="L13" s="343">
        <f t="shared" si="4"/>
      </c>
      <c r="M13" s="327">
        <f t="shared" si="5"/>
      </c>
      <c r="N13" s="140">
        <f t="shared" si="6"/>
      </c>
      <c r="X13" s="142">
        <f>'Semi-Results'!X10</f>
        <v>196.6</v>
      </c>
      <c r="Y13" s="142">
        <f>'Semi-Results'!Y10</f>
        <v>194.9</v>
      </c>
      <c r="Z13" s="142"/>
      <c r="AA13" s="142">
        <f>IF($A13&gt;'Semi-Results'!$P$2,"",MIN($X13,$Y13))</f>
        <v>194.9</v>
      </c>
      <c r="AB13" s="142">
        <f>IF($A13&gt;'Semi-Results'!$P$2,"",MAX($X13,$Y13))</f>
        <v>196.6</v>
      </c>
      <c r="AC13" s="142"/>
      <c r="AD13" s="142">
        <f>'Semi-Results'!AD10</f>
      </c>
    </row>
    <row r="14" spans="1:30" ht="13.5">
      <c r="A14" s="369">
        <f>IF((ROW(A14)-ROW(A$8))&gt;'Semi-Results'!$P$2,"",ROW(A14)-ROW(A$8))</f>
        <v>6</v>
      </c>
      <c r="B14" s="136">
        <f>'Semi-Results'!$B12</f>
        <v>14</v>
      </c>
      <c r="C14" s="29" t="str">
        <f>'Semi-Results'!$C12</f>
        <v>DELOR B. / CONSTANT P.</v>
      </c>
      <c r="D14" s="137">
        <f>'Semi-Results'!$D12</f>
        <v>0</v>
      </c>
      <c r="E14" s="149" t="str">
        <f>'Semi-Results'!$E12</f>
        <v>FRA</v>
      </c>
      <c r="F14" s="343">
        <f t="shared" si="0"/>
        <v>3</v>
      </c>
      <c r="G14" s="327" t="str">
        <f t="shared" si="1"/>
        <v>:</v>
      </c>
      <c r="H14" s="140">
        <f t="shared" si="2"/>
        <v>31.80000000000001</v>
      </c>
      <c r="I14" s="343">
        <f t="shared" si="7"/>
        <v>3</v>
      </c>
      <c r="J14" s="327" t="str">
        <f t="shared" si="8"/>
        <v>:</v>
      </c>
      <c r="K14" s="140">
        <f t="shared" si="3"/>
        <v>17.69999999999999</v>
      </c>
      <c r="L14" s="343">
        <f t="shared" si="4"/>
      </c>
      <c r="M14" s="327">
        <f t="shared" si="5"/>
      </c>
      <c r="N14" s="140">
        <f t="shared" si="6"/>
      </c>
      <c r="X14" s="142">
        <f>'Semi-Results'!X12</f>
        <v>211.8</v>
      </c>
      <c r="Y14" s="142">
        <f>'Semi-Results'!Y12</f>
        <v>197.7</v>
      </c>
      <c r="Z14" s="142"/>
      <c r="AA14" s="142">
        <f>IF($A14&gt;'Semi-Results'!$P$2,"",MIN($X14,$Y14))</f>
        <v>197.7</v>
      </c>
      <c r="AB14" s="142">
        <f>IF($A14&gt;'Semi-Results'!$P$2,"",MAX($X14,$Y14))</f>
        <v>211.8</v>
      </c>
      <c r="AC14" s="142"/>
      <c r="AD14" s="142">
        <f>'Semi-Results'!AD12</f>
      </c>
    </row>
    <row r="15" spans="1:30" ht="12.75">
      <c r="A15" s="304">
        <f>IF((ROW(A15)-ROW(A$8))&gt;'Semi-Results'!$P$2,"",ROW(A15)-ROW(A$8))</f>
        <v>7</v>
      </c>
      <c r="B15" s="136">
        <f>'Semi-Results'!$B18</f>
        <v>31</v>
      </c>
      <c r="C15" s="29" t="str">
        <f>'Semi-Results'!$C18</f>
        <v>MORTINHO A. / GOULAO J.</v>
      </c>
      <c r="D15" s="137">
        <f>'Semi-Results'!$D18</f>
        <v>0</v>
      </c>
      <c r="E15" s="149" t="str">
        <f>'Semi-Results'!$E18</f>
        <v>POR</v>
      </c>
      <c r="F15" s="343">
        <f t="shared" si="0"/>
        <v>3</v>
      </c>
      <c r="G15" s="327" t="str">
        <f t="shared" si="1"/>
        <v>:</v>
      </c>
      <c r="H15" s="140">
        <f t="shared" si="2"/>
        <v>19.30000000000001</v>
      </c>
      <c r="I15" s="343">
        <f t="shared" si="7"/>
        <v>3</v>
      </c>
      <c r="J15" s="327" t="str">
        <f t="shared" si="8"/>
        <v>:</v>
      </c>
      <c r="K15" s="140">
        <f t="shared" si="3"/>
        <v>37.80000000000001</v>
      </c>
      <c r="L15" s="343">
        <f t="shared" si="4"/>
      </c>
      <c r="M15" s="327">
        <f t="shared" si="5"/>
      </c>
      <c r="N15" s="140">
        <f t="shared" si="6"/>
      </c>
      <c r="X15" s="142">
        <f>'Semi-Results'!X18</f>
        <v>199.3</v>
      </c>
      <c r="Y15" s="142">
        <f>'Semi-Results'!Y18</f>
        <v>217.8</v>
      </c>
      <c r="Z15" s="142"/>
      <c r="AA15" s="142">
        <f>IF($A15&gt;'Semi-Results'!$P$2,"",MIN($X15,$Y15))</f>
        <v>199.3</v>
      </c>
      <c r="AB15" s="142">
        <f>IF($A15&gt;'Semi-Results'!$P$2,"",MAX($X15,$Y15))</f>
        <v>217.8</v>
      </c>
      <c r="AC15" s="142"/>
      <c r="AD15" s="142">
        <f>'Semi-Results'!AD18</f>
      </c>
    </row>
    <row r="16" spans="1:30" ht="12.75">
      <c r="A16" s="304">
        <f>IF((ROW(A16)-ROW(A$8))&gt;'Semi-Results'!$P$2,"",ROW(A16)-ROW(A$8))</f>
        <v>8</v>
      </c>
      <c r="B16" s="136">
        <f>'Semi-Results'!$B20</f>
        <v>34</v>
      </c>
      <c r="C16" s="29" t="str">
        <f>'Semi-Results'!$C20</f>
        <v>TITOV V. / JOUGOV V.</v>
      </c>
      <c r="D16" s="137">
        <f>'Semi-Results'!$D20</f>
        <v>0</v>
      </c>
      <c r="E16" s="149" t="str">
        <f>'Semi-Results'!$E20</f>
        <v>RUS</v>
      </c>
      <c r="F16" s="343">
        <f t="shared" si="0"/>
        <v>3</v>
      </c>
      <c r="G16" s="327" t="str">
        <f t="shared" si="1"/>
        <v>:</v>
      </c>
      <c r="H16" s="140">
        <f t="shared" si="2"/>
        <v>21.30000000000001</v>
      </c>
      <c r="I16" s="343"/>
      <c r="J16" s="327"/>
      <c r="K16" s="363" t="str">
        <f t="shared" si="3"/>
        <v>DISQ</v>
      </c>
      <c r="L16" s="343">
        <f t="shared" si="4"/>
      </c>
      <c r="M16" s="327">
        <f t="shared" si="5"/>
      </c>
      <c r="N16" s="140">
        <f t="shared" si="6"/>
      </c>
      <c r="X16" s="142">
        <f>'Semi-Results'!X20</f>
        <v>201.3</v>
      </c>
      <c r="Y16" s="142">
        <f>'Semi-Results'!Y20</f>
        <v>1000000</v>
      </c>
      <c r="Z16" s="142"/>
      <c r="AA16" s="142">
        <f>IF($A16&gt;'Semi-Results'!$P$2,"",MIN($X16,$Y16))</f>
        <v>201.3</v>
      </c>
      <c r="AB16" s="142">
        <f>IF($A16&gt;'Semi-Results'!$P$2,"",MAX($X16,$Y16))</f>
        <v>1000000</v>
      </c>
      <c r="AC16" s="142"/>
      <c r="AD16" s="142">
        <f>'Semi-Results'!AD20</f>
      </c>
    </row>
    <row r="17" spans="1:30" ht="12.75">
      <c r="A17" s="304">
        <f>IF((ROW(A17)-ROW(A$8))&gt;'Semi-Results'!$P$2,"",ROW(A17)-ROW(A$8))</f>
        <v>9</v>
      </c>
      <c r="B17" s="136">
        <f>'Semi-Results'!$B14</f>
        <v>19</v>
      </c>
      <c r="C17" s="29" t="str">
        <f>'Semi-Results'!$C14</f>
        <v>ROSS M. / TURNER B.</v>
      </c>
      <c r="D17" s="137">
        <f>'Semi-Results'!$D14</f>
        <v>0</v>
      </c>
      <c r="E17" s="149" t="str">
        <f>'Semi-Results'!$E14</f>
        <v>GBR</v>
      </c>
      <c r="F17" s="343"/>
      <c r="G17" s="327"/>
      <c r="H17" s="363">
        <f t="shared" si="2"/>
        <v>22</v>
      </c>
      <c r="I17" s="343"/>
      <c r="J17" s="327"/>
      <c r="K17" s="363">
        <f t="shared" si="3"/>
        <v>26</v>
      </c>
      <c r="L17" s="343">
        <f t="shared" si="4"/>
      </c>
      <c r="M17" s="327">
        <f t="shared" si="5"/>
      </c>
      <c r="N17" s="140">
        <f t="shared" si="6"/>
      </c>
      <c r="X17" s="142">
        <f>'Semi-Results'!X14</f>
        <v>202</v>
      </c>
      <c r="Y17" s="142">
        <f>'Semi-Results'!Y14</f>
        <v>206</v>
      </c>
      <c r="Z17" s="142"/>
      <c r="AA17" s="142">
        <f>IF($A17&gt;'Semi-Results'!$P$2,"",MIN($X17,$Y17))</f>
        <v>202</v>
      </c>
      <c r="AB17" s="142">
        <f>IF($A17&gt;'Semi-Results'!$P$2,"",MAX($X17,$Y17))</f>
        <v>206</v>
      </c>
      <c r="AC17" s="142"/>
      <c r="AD17" s="142">
        <f>'Semi-Results'!AD14</f>
      </c>
    </row>
    <row r="18" spans="1:30" ht="12.75">
      <c r="A18" s="304">
        <f>IF((ROW(A18)-ROW(A$8))&gt;'Semi-Results'!$P$2,"",ROW(A18)-ROW(A$8))</f>
        <v>10</v>
      </c>
      <c r="B18" s="136">
        <f>'Semi-Results'!$B17</f>
        <v>26</v>
      </c>
      <c r="C18" s="29" t="str">
        <f>'Semi-Results'!$C17</f>
        <v>MARTINI G. / MENOZZI M.</v>
      </c>
      <c r="D18" s="137">
        <f>'Semi-Results'!$D17</f>
        <v>0</v>
      </c>
      <c r="E18" s="149" t="str">
        <f>'Semi-Results'!$E17</f>
        <v>ITA</v>
      </c>
      <c r="F18" s="343">
        <f t="shared" si="0"/>
        <v>3</v>
      </c>
      <c r="G18" s="327" t="str">
        <f t="shared" si="1"/>
        <v>:</v>
      </c>
      <c r="H18" s="140">
        <f t="shared" si="2"/>
        <v>27.599999999999994</v>
      </c>
      <c r="I18" s="343">
        <f t="shared" si="7"/>
        <v>3</v>
      </c>
      <c r="J18" s="327" t="str">
        <f t="shared" si="8"/>
        <v>:</v>
      </c>
      <c r="K18" s="140">
        <f t="shared" si="3"/>
        <v>22.099999999999994</v>
      </c>
      <c r="L18" s="343">
        <f t="shared" si="4"/>
      </c>
      <c r="M18" s="327">
        <f t="shared" si="5"/>
      </c>
      <c r="N18" s="140">
        <f t="shared" si="6"/>
      </c>
      <c r="X18" s="142">
        <f>'Semi-Results'!X17</f>
        <v>207.6</v>
      </c>
      <c r="Y18" s="142">
        <f>'Semi-Results'!Y17</f>
        <v>202.1</v>
      </c>
      <c r="Z18" s="142"/>
      <c r="AA18" s="142">
        <f>IF($A18&gt;'Semi-Results'!$P$2,"",MIN($X18,$Y18))</f>
        <v>202.1</v>
      </c>
      <c r="AB18" s="142">
        <f>IF($A18&gt;'Semi-Results'!$P$2,"",MAX($X18,$Y18))</f>
        <v>207.6</v>
      </c>
      <c r="AC18" s="142"/>
      <c r="AD18" s="142">
        <f>'Semi-Results'!AD17</f>
      </c>
    </row>
    <row r="19" spans="1:30" ht="12.75">
      <c r="A19" s="304">
        <f>IF((ROW(A19)-ROW(A$8))&gt;'Semi-Results'!$P$2,"",ROW(A19)-ROW(A$8))</f>
        <v>11</v>
      </c>
      <c r="B19" s="136">
        <f>'Semi-Results'!$B24</f>
        <v>49</v>
      </c>
      <c r="C19" s="29" t="str">
        <f>'Semi-Results'!$C24</f>
        <v>ASCHER A. / ASCHER L.</v>
      </c>
      <c r="D19" s="137">
        <f>'Semi-Results'!$D24</f>
        <v>0</v>
      </c>
      <c r="E19" s="149" t="str">
        <f>'Semi-Results'!$E24</f>
        <v>USA</v>
      </c>
      <c r="F19" s="343"/>
      <c r="G19" s="327"/>
      <c r="H19" s="364">
        <f t="shared" si="2"/>
        <v>22.5</v>
      </c>
      <c r="I19" s="343"/>
      <c r="J19" s="327"/>
      <c r="K19" s="364">
        <f t="shared" si="3"/>
      </c>
      <c r="L19" s="343">
        <f t="shared" si="4"/>
      </c>
      <c r="M19" s="327">
        <f t="shared" si="5"/>
      </c>
      <c r="N19" s="140">
        <f t="shared" si="6"/>
      </c>
      <c r="X19" s="142">
        <f>'Semi-Results'!X24</f>
        <v>202.5</v>
      </c>
      <c r="Y19" s="142">
        <f>'Semi-Results'!Y24</f>
      </c>
      <c r="Z19" s="142"/>
      <c r="AA19" s="142">
        <f>IF($A19&gt;'Semi-Results'!$P$2,"",MIN($X19,$Y19))</f>
        <v>202.5</v>
      </c>
      <c r="AB19" s="142">
        <f>IF($A19&gt;'Semi-Results'!$P$2,"",MAX($X19,$Y19))</f>
        <v>202.5</v>
      </c>
      <c r="AC19" s="142"/>
      <c r="AD19" s="142">
        <f>'Semi-Results'!AD24</f>
      </c>
    </row>
    <row r="20" spans="1:30" ht="12.75">
      <c r="A20" s="304">
        <f>IF((ROW(A20)-ROW(A$8))&gt;'Semi-Results'!$P$2,"",ROW(A20)-ROW(A$8))</f>
        <v>12</v>
      </c>
      <c r="B20" s="136">
        <f>'Semi-Results'!$B16</f>
        <v>25</v>
      </c>
      <c r="C20" s="29" t="str">
        <f>'Semi-Results'!$C16</f>
        <v>MAGLI M./  PIRAZZINI E.</v>
      </c>
      <c r="D20" s="137">
        <f>'Semi-Results'!$D16</f>
        <v>0</v>
      </c>
      <c r="E20" s="149" t="str">
        <f>'Semi-Results'!$E16</f>
        <v>ITA</v>
      </c>
      <c r="F20" s="343">
        <f t="shared" si="0"/>
        <v>3</v>
      </c>
      <c r="G20" s="327" t="str">
        <f t="shared" si="1"/>
        <v>:</v>
      </c>
      <c r="H20" s="140">
        <f t="shared" si="2"/>
        <v>30.69999999999999</v>
      </c>
      <c r="I20" s="343"/>
      <c r="J20" s="327"/>
      <c r="K20" s="363">
        <f t="shared" si="3"/>
        <v>9.199999999999989</v>
      </c>
      <c r="L20" s="343">
        <f t="shared" si="4"/>
      </c>
      <c r="M20" s="327">
        <f t="shared" si="5"/>
      </c>
      <c r="N20" s="140">
        <f t="shared" si="6"/>
      </c>
      <c r="X20" s="142">
        <f>'Semi-Results'!X16</f>
        <v>210.7</v>
      </c>
      <c r="Y20" s="142">
        <f>'Semi-Results'!Y16</f>
        <v>249.2</v>
      </c>
      <c r="Z20" s="142"/>
      <c r="AA20" s="142">
        <f>IF($A20&gt;'Semi-Results'!$P$2,"",MIN($X20,$Y20))</f>
        <v>210.7</v>
      </c>
      <c r="AB20" s="142">
        <f>IF($A20&gt;'Semi-Results'!$P$2,"",MAX($X20,$Y20))</f>
        <v>249.2</v>
      </c>
      <c r="AC20" s="142"/>
      <c r="AD20" s="142">
        <f>'Semi-Results'!AD16</f>
      </c>
    </row>
    <row r="21" spans="1:30" ht="12.75">
      <c r="A21" s="304">
        <f>IF((ROW(A21)-ROW(A$8))&gt;'Semi-Results'!$P$2,"",ROW(A21)-ROW(A$8))</f>
        <v>13</v>
      </c>
      <c r="B21" s="136">
        <f>'Semi-Results'!$B15</f>
        <v>24</v>
      </c>
      <c r="C21" s="29" t="str">
        <f>'Semi-Results'!$C15</f>
        <v>PENNISI R. / ROSSI A.</v>
      </c>
      <c r="D21" s="137">
        <f>'Semi-Results'!$D15</f>
        <v>0</v>
      </c>
      <c r="E21" s="149" t="str">
        <f>'Semi-Results'!$E15</f>
        <v>ITA</v>
      </c>
      <c r="F21" s="343">
        <f t="shared" si="0"/>
        <v>3</v>
      </c>
      <c r="G21" s="327" t="str">
        <f t="shared" si="1"/>
        <v>:</v>
      </c>
      <c r="H21" s="140">
        <f t="shared" si="2"/>
        <v>46.30000000000001</v>
      </c>
      <c r="I21" s="343"/>
      <c r="J21" s="327"/>
      <c r="K21" s="364">
        <f t="shared" si="3"/>
        <v>35</v>
      </c>
      <c r="L21" s="343">
        <f t="shared" si="4"/>
      </c>
      <c r="M21" s="327">
        <f t="shared" si="5"/>
      </c>
      <c r="N21" s="140">
        <f t="shared" si="6"/>
      </c>
      <c r="X21" s="142">
        <f>'Semi-Results'!X15</f>
        <v>226.3</v>
      </c>
      <c r="Y21" s="142">
        <f>'Semi-Results'!Y15</f>
        <v>9965</v>
      </c>
      <c r="Z21" s="142"/>
      <c r="AA21" s="142">
        <f>IF($A21&gt;'Semi-Results'!$P$2,"",MIN($X21,$Y21))</f>
        <v>226.3</v>
      </c>
      <c r="AB21" s="142">
        <f>IF($A21&gt;'Semi-Results'!$P$2,"",MAX($X21,$Y21))</f>
        <v>9965</v>
      </c>
      <c r="AC21" s="142"/>
      <c r="AD21" s="142">
        <f>'Semi-Results'!AD15</f>
      </c>
    </row>
    <row r="22" spans="1:30" ht="12.75">
      <c r="A22" s="304">
        <f>IF((ROW(A22)-ROW(A$8))&gt;'Semi-Results'!$P$2,"",ROW(A22)-ROW(A$8))</f>
        <v>14</v>
      </c>
      <c r="B22" s="136">
        <f>'Semi-Results'!$B23</f>
        <v>47</v>
      </c>
      <c r="C22" s="29" t="str">
        <f>'Semi-Results'!$C23</f>
        <v>ZHURAVLYOV V. / SOSNOVSKIY V.</v>
      </c>
      <c r="D22" s="137">
        <f>'Semi-Results'!$D23</f>
        <v>0</v>
      </c>
      <c r="E22" s="149" t="str">
        <f>'Semi-Results'!$E23</f>
        <v>UKR</v>
      </c>
      <c r="F22" s="343">
        <f t="shared" si="0"/>
      </c>
      <c r="G22" s="327">
        <f t="shared" si="1"/>
      </c>
      <c r="H22" s="140" t="str">
        <f t="shared" si="2"/>
        <v>DISQ</v>
      </c>
      <c r="I22" s="343"/>
      <c r="J22" s="327"/>
      <c r="K22" s="364">
        <f t="shared" si="3"/>
        <v>15.300000000000011</v>
      </c>
      <c r="L22" s="343">
        <f t="shared" si="4"/>
      </c>
      <c r="M22" s="327">
        <f t="shared" si="5"/>
      </c>
      <c r="N22" s="140">
        <f t="shared" si="6"/>
      </c>
      <c r="X22" s="142">
        <f>'Semi-Results'!X23</f>
        <v>1000000</v>
      </c>
      <c r="Y22" s="142">
        <f>'Semi-Results'!Y23</f>
        <v>255.3</v>
      </c>
      <c r="Z22" s="142"/>
      <c r="AA22" s="142">
        <f>IF($A22&gt;'Semi-Results'!$P$2,"",MIN($X22,$Y22))</f>
        <v>255.3</v>
      </c>
      <c r="AB22" s="142">
        <f>IF($A22&gt;'Semi-Results'!$P$2,"",MAX($X22,$Y22))</f>
        <v>1000000</v>
      </c>
      <c r="AC22" s="142"/>
      <c r="AD22" s="142">
        <f>'Semi-Results'!AD23</f>
      </c>
    </row>
    <row r="23" spans="1:30" ht="12.75" customHeight="1">
      <c r="A23" s="344">
        <f>IF((ROW(A23)-ROW(A$8))&gt;'Semi-Results'!$P$2,"",ROW(A23)-ROW(A$8))</f>
        <v>15</v>
      </c>
      <c r="B23" s="316">
        <f>'Semi-Results'!$B22</f>
        <v>46</v>
      </c>
      <c r="C23" s="282" t="str">
        <f>'Semi-Results'!$C22</f>
        <v>BEZMERTNY Y. / FULITKA V.</v>
      </c>
      <c r="D23" s="287">
        <f>'Semi-Results'!$D22</f>
        <v>0</v>
      </c>
      <c r="E23" s="317" t="str">
        <f>'Semi-Results'!$E22</f>
        <v>UKR</v>
      </c>
      <c r="F23" s="343"/>
      <c r="G23" s="327"/>
      <c r="H23" s="363">
        <f t="shared" si="2"/>
        <v>69</v>
      </c>
      <c r="I23" s="343"/>
      <c r="J23" s="327"/>
      <c r="K23" s="364">
        <f t="shared" si="3"/>
      </c>
      <c r="L23" s="343">
        <f t="shared" si="4"/>
        <v>0</v>
      </c>
      <c r="M23" s="327" t="str">
        <f t="shared" si="5"/>
        <v>:</v>
      </c>
      <c r="N23" s="140">
        <f t="shared" si="6"/>
        <v>0</v>
      </c>
      <c r="X23" s="142">
        <f>'Semi-Results'!X22</f>
        <v>9931</v>
      </c>
      <c r="Y23" s="142">
        <f>'Semi-Results'!Y22</f>
      </c>
      <c r="Z23" s="142"/>
      <c r="AA23" s="142">
        <f>IF($A23&gt;'Semi-Results'!$P$2,"",MIN($X23,$Y23))</f>
        <v>9931</v>
      </c>
      <c r="AB23" s="142">
        <f>IF($A23&gt;'Semi-Results'!$P$2,"",MAX($X23,$Y23))</f>
        <v>9931</v>
      </c>
      <c r="AC23" s="142"/>
      <c r="AD23" s="142">
        <f>'Semi-Results'!AD22</f>
        <v>0</v>
      </c>
    </row>
    <row r="24" spans="1:30" ht="12.75" customHeight="1">
      <c r="A24" s="371">
        <f>IF((ROW(A24)-ROW(A$8))&gt;'Semi-Results'!$P$2,"",ROW(A24)-ROW(A$8))</f>
        <v>16</v>
      </c>
      <c r="B24" s="316">
        <f>'Semi-Results'!$B9</f>
        <v>1</v>
      </c>
      <c r="C24" s="282" t="str">
        <f>'Semi-Results'!$C9</f>
        <v>ANDREEV S. / SOBKO S.</v>
      </c>
      <c r="D24" s="287" t="str">
        <f>'Semi-Results'!$D9</f>
        <v>W/CH</v>
      </c>
      <c r="E24" s="317" t="str">
        <f>'Semi-Results'!$E9</f>
        <v>RUS</v>
      </c>
      <c r="F24" s="257">
        <f>IF($X24="","",IF($X24=1000000,"",IF($X24=10000,0,IF($X24&gt;9000,"",INT($X24/60)))))</f>
      </c>
      <c r="G24" s="262">
        <f>IF($X24="","",IF($X24=1000000,"",IF($X24=10000,":",IF($X24&gt;9000,"",":"))))</f>
      </c>
      <c r="H24" s="252" t="str">
        <f>IF($X24="","",IF($X24=1000000,"DISQ",IF($X24&gt;9000,10000-$X24,$X24-INT($X24/60)*60)))</f>
        <v>DISQ</v>
      </c>
      <c r="I24" s="343"/>
      <c r="J24" s="327"/>
      <c r="K24" s="363" t="str">
        <f>IF($Y24="","",IF($Y24=1000000,"DISQ",IF($Y24&gt;9000,10000-$Y24,$Y24-INT($Y24/60)*60)))</f>
        <v>DISQ</v>
      </c>
      <c r="L24" s="343">
        <f>IF($AD24="","",IF($AD24=1000000,"",IF($AD24=10000,0,IF($AD24&gt;9000,"",INT($AD24/60)))))</f>
      </c>
      <c r="M24" s="327">
        <f>IF($AD24="","",IF($AD24=1000000,"",IF($AD24=10000,":",IF($AD24&gt;9000,"",":"))))</f>
      </c>
      <c r="N24" s="140">
        <f>IF($AD24="","",IF($AD24=1000000,"DISQ",IF($AD24&gt;9000,10000-$AD24,$AD24-INT($AD24/60)*60)))</f>
      </c>
      <c r="X24" s="142">
        <f>'Semi-Results'!X9</f>
        <v>1000000</v>
      </c>
      <c r="Y24" s="142">
        <f>'Semi-Results'!Y9</f>
        <v>1000000</v>
      </c>
      <c r="Z24" s="142"/>
      <c r="AA24" s="142">
        <f>IF($A24&gt;'Semi-Results'!$P$2,"",MIN($X24,$Y24))</f>
        <v>1000000</v>
      </c>
      <c r="AB24" s="142">
        <f>IF($A24&gt;'Semi-Results'!$P$2,"",MAX($X24,$Y24))</f>
        <v>1000000</v>
      </c>
      <c r="AC24" s="142"/>
      <c r="AD24" s="142">
        <f>'Semi-Results'!AD9</f>
      </c>
    </row>
    <row r="25" spans="2:24" ht="12.75" customHeight="1">
      <c r="B25"/>
      <c r="C25"/>
      <c r="D25"/>
      <c r="E25"/>
      <c r="F25"/>
      <c r="G25"/>
      <c r="H25"/>
      <c r="I25"/>
      <c r="J25"/>
      <c r="K25"/>
      <c r="L25"/>
      <c r="M25"/>
      <c r="N25"/>
      <c r="X25"/>
    </row>
    <row r="26" spans="3:24" ht="12.75">
      <c r="C26" s="158"/>
      <c r="F26" s="159"/>
      <c r="I26" s="159"/>
      <c r="L26" s="159"/>
      <c r="X26"/>
    </row>
    <row r="27" spans="3:24" ht="12.75">
      <c r="C27" s="158"/>
      <c r="F27" s="159"/>
      <c r="I27" s="159"/>
      <c r="L27" s="159"/>
      <c r="X27"/>
    </row>
    <row r="28" spans="3:24" ht="12.75">
      <c r="C28" s="158"/>
      <c r="F28" s="159"/>
      <c r="I28" s="159"/>
      <c r="L28" s="159"/>
      <c r="X28"/>
    </row>
    <row r="29" spans="3:24" ht="12.75">
      <c r="C29" s="158"/>
      <c r="F29" s="159"/>
      <c r="I29" s="159"/>
      <c r="L29" s="159"/>
      <c r="X29"/>
    </row>
    <row r="30" spans="3:24" ht="12.75">
      <c r="C30" s="158"/>
      <c r="F30" s="159"/>
      <c r="I30" s="159"/>
      <c r="L30" s="159"/>
      <c r="X30"/>
    </row>
    <row r="31" spans="3:24" ht="12.75">
      <c r="C31" s="158"/>
      <c r="F31" s="159"/>
      <c r="I31" s="159"/>
      <c r="X31"/>
    </row>
    <row r="32" spans="3:24" ht="12.75">
      <c r="C32" s="158"/>
      <c r="F32" s="159"/>
      <c r="I32" s="159"/>
      <c r="X32"/>
    </row>
    <row r="33" spans="3:24" ht="12.75">
      <c r="C33" s="158"/>
      <c r="I33" s="159"/>
      <c r="X33"/>
    </row>
    <row r="34" ht="12.75">
      <c r="X34"/>
    </row>
    <row r="35" ht="12.75">
      <c r="X35"/>
    </row>
    <row r="36" ht="12.75">
      <c r="X36"/>
    </row>
    <row r="37" ht="12.75">
      <c r="X37"/>
    </row>
    <row r="38" ht="12.75">
      <c r="X38"/>
    </row>
    <row r="39" ht="12.75">
      <c r="X39"/>
    </row>
    <row r="40" ht="12.75">
      <c r="X40"/>
    </row>
    <row r="41" ht="12.75">
      <c r="X41"/>
    </row>
    <row r="42" ht="12.75">
      <c r="X42"/>
    </row>
    <row r="43" ht="12.75">
      <c r="X43"/>
    </row>
    <row r="44" spans="6:24" ht="12.75">
      <c r="F44" s="91"/>
      <c r="G44" s="92"/>
      <c r="H44" s="93"/>
      <c r="I44" s="91"/>
      <c r="J44" s="92"/>
      <c r="K44" s="93"/>
      <c r="L44" s="91"/>
      <c r="M44" s="92"/>
      <c r="N44" s="93"/>
      <c r="X44"/>
    </row>
    <row r="45" spans="6:24" ht="12.75">
      <c r="F45" s="91"/>
      <c r="G45" s="92"/>
      <c r="H45" s="93"/>
      <c r="I45" s="91"/>
      <c r="J45" s="92"/>
      <c r="K45" s="93"/>
      <c r="L45" s="91"/>
      <c r="M45" s="92"/>
      <c r="N45" s="93"/>
      <c r="X45"/>
    </row>
    <row r="46" spans="6:24" ht="12.75">
      <c r="F46" s="91"/>
      <c r="G46" s="92"/>
      <c r="H46" s="93"/>
      <c r="I46" s="91"/>
      <c r="J46" s="92"/>
      <c r="K46" s="93"/>
      <c r="L46" s="91"/>
      <c r="M46" s="92"/>
      <c r="N46" s="93"/>
      <c r="X46"/>
    </row>
    <row r="47" spans="6:24" ht="12.75">
      <c r="F47" s="91"/>
      <c r="G47" s="92"/>
      <c r="H47" s="93"/>
      <c r="I47" s="91"/>
      <c r="J47" s="92"/>
      <c r="K47" s="93"/>
      <c r="L47" s="91"/>
      <c r="M47" s="92"/>
      <c r="N47" s="93"/>
      <c r="X47"/>
    </row>
    <row r="48" spans="6:24" ht="12.75">
      <c r="F48" s="91"/>
      <c r="G48" s="92"/>
      <c r="H48" s="93"/>
      <c r="I48" s="91"/>
      <c r="J48" s="92"/>
      <c r="K48" s="93"/>
      <c r="L48" s="91"/>
      <c r="M48" s="92"/>
      <c r="N48" s="93"/>
      <c r="X48"/>
    </row>
    <row r="49" spans="6:24" ht="12.75">
      <c r="F49" s="91"/>
      <c r="G49" s="92"/>
      <c r="H49" s="93"/>
      <c r="I49" s="91"/>
      <c r="J49" s="92"/>
      <c r="K49" s="93"/>
      <c r="L49" s="91"/>
      <c r="M49" s="92"/>
      <c r="N49" s="93"/>
      <c r="X49"/>
    </row>
    <row r="50" spans="6:24" ht="12.75">
      <c r="F50" s="91"/>
      <c r="G50" s="92"/>
      <c r="H50" s="93"/>
      <c r="I50" s="91"/>
      <c r="J50" s="92"/>
      <c r="K50" s="93"/>
      <c r="L50" s="91"/>
      <c r="M50" s="92"/>
      <c r="N50" s="93"/>
      <c r="X50"/>
    </row>
    <row r="51" spans="6:24" ht="12.75">
      <c r="F51" s="91"/>
      <c r="G51" s="92"/>
      <c r="H51" s="93"/>
      <c r="I51" s="91"/>
      <c r="J51" s="92"/>
      <c r="K51" s="93"/>
      <c r="L51" s="91"/>
      <c r="M51" s="92"/>
      <c r="N51" s="93"/>
      <c r="X51"/>
    </row>
    <row r="52" spans="6:24" ht="12.75">
      <c r="F52" s="91"/>
      <c r="G52" s="92"/>
      <c r="H52" s="93"/>
      <c r="I52" s="91"/>
      <c r="J52" s="92"/>
      <c r="K52" s="93"/>
      <c r="L52" s="91"/>
      <c r="M52" s="92"/>
      <c r="N52" s="93"/>
      <c r="X52"/>
    </row>
    <row r="53" spans="6:24" ht="12.75">
      <c r="F53" s="91"/>
      <c r="G53" s="92"/>
      <c r="H53" s="93"/>
      <c r="I53" s="91"/>
      <c r="J53" s="92"/>
      <c r="K53" s="93"/>
      <c r="L53" s="91"/>
      <c r="M53" s="92"/>
      <c r="N53" s="93"/>
      <c r="X53"/>
    </row>
    <row r="54" spans="6:24" ht="12.75">
      <c r="F54" s="91"/>
      <c r="G54" s="92"/>
      <c r="H54" s="93"/>
      <c r="I54" s="91"/>
      <c r="J54" s="92"/>
      <c r="K54" s="93"/>
      <c r="L54" s="91"/>
      <c r="M54" s="92"/>
      <c r="N54" s="93"/>
      <c r="X54"/>
    </row>
    <row r="55" spans="6:24" ht="12.75">
      <c r="F55" s="91"/>
      <c r="G55" s="92"/>
      <c r="H55" s="93"/>
      <c r="I55" s="91"/>
      <c r="J55" s="92"/>
      <c r="K55" s="93"/>
      <c r="L55" s="91"/>
      <c r="M55" s="92"/>
      <c r="N55" s="93"/>
      <c r="X55"/>
    </row>
    <row r="56" spans="6:24" ht="12.75">
      <c r="F56" s="91"/>
      <c r="G56" s="92"/>
      <c r="H56" s="93"/>
      <c r="I56" s="91"/>
      <c r="J56" s="92"/>
      <c r="K56" s="93"/>
      <c r="L56" s="91"/>
      <c r="M56" s="92"/>
      <c r="N56" s="93"/>
      <c r="X56"/>
    </row>
    <row r="57" spans="6:24" ht="12.75">
      <c r="F57" s="91"/>
      <c r="G57" s="92"/>
      <c r="H57" s="93"/>
      <c r="I57" s="91"/>
      <c r="J57" s="92"/>
      <c r="K57" s="93"/>
      <c r="L57" s="91"/>
      <c r="M57" s="92"/>
      <c r="N57" s="93"/>
      <c r="X57"/>
    </row>
    <row r="58" spans="6:24" ht="12.75">
      <c r="F58" s="91"/>
      <c r="G58" s="92"/>
      <c r="H58" s="93"/>
      <c r="I58" s="91"/>
      <c r="J58" s="92"/>
      <c r="K58" s="93"/>
      <c r="L58" s="91"/>
      <c r="M58" s="92"/>
      <c r="N58" s="93"/>
      <c r="X58"/>
    </row>
    <row r="59" spans="6:24" ht="12.75">
      <c r="F59" s="91"/>
      <c r="G59" s="92"/>
      <c r="H59" s="93"/>
      <c r="I59" s="91"/>
      <c r="J59" s="92"/>
      <c r="K59" s="93"/>
      <c r="L59" s="91"/>
      <c r="M59" s="92"/>
      <c r="N59" s="93"/>
      <c r="X59"/>
    </row>
    <row r="60" spans="6:24" ht="12.75">
      <c r="F60" s="91"/>
      <c r="G60" s="92"/>
      <c r="H60" s="93"/>
      <c r="I60" s="91"/>
      <c r="J60" s="92"/>
      <c r="K60" s="93"/>
      <c r="L60" s="91"/>
      <c r="M60" s="92"/>
      <c r="N60" s="93"/>
      <c r="X60"/>
    </row>
  </sheetData>
  <printOptions/>
  <pageMargins left="0.5905511811023623" right="0.5905511811023623" top="0.3937007874015748" bottom="0.3937007874015748" header="0.5118110236220472" footer="0.5118110236220472"/>
  <pageSetup fitToHeight="1" fitToWidth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63"/>
  <sheetViews>
    <sheetView workbookViewId="0" topLeftCell="A1">
      <selection activeCell="C30" sqref="C30"/>
    </sheetView>
  </sheetViews>
  <sheetFormatPr defaultColWidth="9.140625" defaultRowHeight="12.75"/>
  <cols>
    <col min="1" max="1" width="4.57421875" style="2" customWidth="1"/>
    <col min="2" max="2" width="4.8515625" style="22" customWidth="1"/>
    <col min="3" max="3" width="33.140625" style="1" customWidth="1"/>
    <col min="4" max="4" width="2.57421875" style="1" customWidth="1"/>
    <col min="5" max="5" width="7.28125" style="2" customWidth="1"/>
    <col min="6" max="6" width="2.7109375" style="142" customWidth="1"/>
    <col min="7" max="7" width="1.7109375" style="92" customWidth="1"/>
    <col min="8" max="8" width="6.7109375" style="94" customWidth="1"/>
    <col min="9" max="9" width="2.7109375" style="142" customWidth="1"/>
    <col min="10" max="10" width="1.7109375" style="92" customWidth="1"/>
    <col min="11" max="11" width="6.7109375" style="94" customWidth="1"/>
    <col min="12" max="12" width="2.7109375" style="142" customWidth="1"/>
    <col min="13" max="13" width="1.7109375" style="92" customWidth="1"/>
    <col min="14" max="14" width="6.7109375" style="94" customWidth="1"/>
    <col min="15" max="15" width="0.85546875" style="239" customWidth="1"/>
    <col min="16" max="16" width="2.7109375" style="254" customWidth="1"/>
    <col min="17" max="17" width="1.7109375" style="244" customWidth="1"/>
    <col min="18" max="18" width="6.7109375" style="245" customWidth="1"/>
    <col min="19" max="19" width="1.7109375" style="165" customWidth="1"/>
    <col min="20" max="20" width="2.7109375" style="163" customWidth="1"/>
    <col min="21" max="21" width="1.7109375" style="160" customWidth="1"/>
    <col min="22" max="22" width="7.7109375" style="164" customWidth="1"/>
    <col min="23" max="23" width="5.7109375" style="166" customWidth="1"/>
    <col min="24" max="27" width="10.7109375" style="147" customWidth="1"/>
    <col min="28" max="28" width="11.421875" style="147" customWidth="1"/>
    <col min="29" max="30" width="10.7109375" style="148" customWidth="1"/>
    <col min="31" max="16384" width="11.421875" style="0" customWidth="1"/>
  </cols>
  <sheetData>
    <row r="1" ht="3.75" customHeight="1"/>
    <row r="2" ht="3.75" customHeight="1">
      <c r="O2" s="240"/>
    </row>
    <row r="3" spans="1:30" ht="3.75" customHeight="1">
      <c r="A3" s="49"/>
      <c r="B3" s="41"/>
      <c r="C3" s="167"/>
      <c r="D3" s="167"/>
      <c r="E3" s="49"/>
      <c r="O3" s="240"/>
      <c r="S3" s="168"/>
      <c r="T3" s="155"/>
      <c r="U3" s="156"/>
      <c r="V3" s="141"/>
      <c r="W3" s="169"/>
      <c r="X3" s="170"/>
      <c r="Y3" s="170"/>
      <c r="Z3" s="170"/>
      <c r="AA3" s="170"/>
      <c r="AB3" s="170"/>
      <c r="AC3" s="170"/>
      <c r="AD3" s="1"/>
    </row>
    <row r="4" spans="2:30" ht="13.5">
      <c r="B4" s="2"/>
      <c r="C4" s="37" t="s">
        <v>82</v>
      </c>
      <c r="D4"/>
      <c r="E4" s="97" t="s">
        <v>107</v>
      </c>
      <c r="F4" s="171"/>
      <c r="G4" s="99"/>
      <c r="H4" s="172"/>
      <c r="I4" s="173"/>
      <c r="J4" s="102"/>
      <c r="O4" s="240"/>
      <c r="Q4" s="246"/>
      <c r="R4" s="247"/>
      <c r="T4" s="159"/>
      <c r="X4" s="109"/>
      <c r="Y4" s="109"/>
      <c r="Z4" s="109"/>
      <c r="AA4" s="109"/>
      <c r="AB4" s="109"/>
      <c r="AC4"/>
      <c r="AD4"/>
    </row>
    <row r="5" spans="3:30" ht="29.25" customHeight="1">
      <c r="C5" s="158"/>
      <c r="D5" s="158"/>
      <c r="F5" s="174"/>
      <c r="G5" s="107"/>
      <c r="H5" s="175"/>
      <c r="T5" s="176"/>
      <c r="X5" s="109"/>
      <c r="Y5" s="109"/>
      <c r="Z5" s="109"/>
      <c r="AA5" s="109"/>
      <c r="AB5" s="109"/>
      <c r="AC5"/>
      <c r="AD5"/>
    </row>
    <row r="6" spans="1:30" ht="3" customHeight="1">
      <c r="A6" s="110" t="s">
        <v>2</v>
      </c>
      <c r="B6" s="111"/>
      <c r="C6" s="271"/>
      <c r="D6" s="267"/>
      <c r="E6" s="113"/>
      <c r="F6" s="177"/>
      <c r="G6" s="115"/>
      <c r="H6" s="351"/>
      <c r="I6" s="152"/>
      <c r="J6" s="118"/>
      <c r="K6" s="355"/>
      <c r="L6" s="152"/>
      <c r="M6" s="118"/>
      <c r="N6" s="178"/>
      <c r="O6" s="241"/>
      <c r="P6" s="255"/>
      <c r="Q6" s="248"/>
      <c r="R6" s="249"/>
      <c r="S6"/>
      <c r="T6" s="264"/>
      <c r="U6" s="118"/>
      <c r="V6" s="178"/>
      <c r="W6"/>
      <c r="X6" s="109"/>
      <c r="Y6" s="109"/>
      <c r="Z6" s="109"/>
      <c r="AA6" s="109"/>
      <c r="AB6" s="109"/>
      <c r="AC6"/>
      <c r="AD6"/>
    </row>
    <row r="7" spans="1:30" ht="13.5">
      <c r="A7" s="121" t="s">
        <v>84</v>
      </c>
      <c r="B7" s="122" t="s">
        <v>4</v>
      </c>
      <c r="C7" s="272" t="s">
        <v>5</v>
      </c>
      <c r="D7" s="268"/>
      <c r="E7" s="7" t="s">
        <v>3</v>
      </c>
      <c r="F7" s="153"/>
      <c r="G7" s="125" t="s">
        <v>77</v>
      </c>
      <c r="H7" s="352"/>
      <c r="I7" s="180"/>
      <c r="J7" s="125" t="s">
        <v>78</v>
      </c>
      <c r="K7" s="352"/>
      <c r="L7" s="180"/>
      <c r="M7" s="125" t="s">
        <v>79</v>
      </c>
      <c r="N7" s="179"/>
      <c r="O7" s="241"/>
      <c r="P7" s="256"/>
      <c r="Q7" s="125" t="s">
        <v>108</v>
      </c>
      <c r="R7" s="126"/>
      <c r="S7"/>
      <c r="T7" s="265"/>
      <c r="U7" s="125" t="s">
        <v>95</v>
      </c>
      <c r="V7" s="179"/>
      <c r="W7"/>
      <c r="X7" s="109" t="s">
        <v>77</v>
      </c>
      <c r="Y7" s="109" t="s">
        <v>78</v>
      </c>
      <c r="Z7" s="109" t="s">
        <v>79</v>
      </c>
      <c r="AA7" s="109" t="s">
        <v>86</v>
      </c>
      <c r="AB7" s="109" t="s">
        <v>87</v>
      </c>
      <c r="AC7" t="s">
        <v>88</v>
      </c>
      <c r="AD7" s="2" t="s">
        <v>98</v>
      </c>
    </row>
    <row r="8" spans="1:30" ht="3" customHeight="1">
      <c r="A8" s="129"/>
      <c r="B8" s="130"/>
      <c r="C8" s="273"/>
      <c r="D8" s="269"/>
      <c r="E8" s="20"/>
      <c r="F8" s="135"/>
      <c r="G8" s="133"/>
      <c r="H8" s="353"/>
      <c r="I8" s="135"/>
      <c r="J8" s="133"/>
      <c r="K8" s="353"/>
      <c r="L8" s="135"/>
      <c r="M8" s="133"/>
      <c r="N8" s="181"/>
      <c r="O8" s="242"/>
      <c r="P8" s="258"/>
      <c r="Q8" s="250"/>
      <c r="R8" s="251"/>
      <c r="S8"/>
      <c r="T8" s="266"/>
      <c r="U8" s="133"/>
      <c r="V8" s="181"/>
      <c r="W8"/>
      <c r="X8" s="109"/>
      <c r="Y8" s="109"/>
      <c r="Z8" s="109"/>
      <c r="AA8" s="109"/>
      <c r="AB8" s="109"/>
      <c r="AC8"/>
      <c r="AD8"/>
    </row>
    <row r="9" spans="1:30" ht="13.5">
      <c r="A9" s="406">
        <f>ROW(A9)-ROW(A$8)</f>
        <v>1</v>
      </c>
      <c r="B9" s="182">
        <v>16</v>
      </c>
      <c r="C9" s="29" t="str">
        <f>IF($B9="","",VLOOKUP($B9,DosF2C!$B$7:$E$100,2))</f>
        <v>BUCCI L. / PERRET C.</v>
      </c>
      <c r="D9" s="270"/>
      <c r="E9" s="10" t="str">
        <f>IF($B9="","",VLOOKUP($B9,DosF2C!$B$7:$E$100,4))</f>
        <v>FRA</v>
      </c>
      <c r="F9" s="343"/>
      <c r="G9" s="327"/>
      <c r="H9" s="405">
        <f>IF($X9="","",IF($X9=1000000,"DISQ",IF($X9&gt;9000,10000-$X9,$X9-INT($X9/60)*60)))</f>
        <v>19</v>
      </c>
      <c r="I9" s="262">
        <f>IF($Y9="","",IF($Y9=1000000,"",IF($Y9=10000,0,IF($Y9&gt;9000,"",INT($Y9/60)))))</f>
        <v>3</v>
      </c>
      <c r="J9" s="262" t="str">
        <f>IF($Y9="","",IF($Y9=1000000,"",IF($Y9=10000,":",IF($Y9&gt;9000,"",":"))))</f>
        <v>:</v>
      </c>
      <c r="K9" s="407">
        <f>IF($Y9="","",IF($Y9=1000000,"DISQ",IF($Y9&gt;9000,10000-$Y9,$Y9-INT($Y9/60)*60)))</f>
        <v>55.19999999999999</v>
      </c>
      <c r="L9" s="327">
        <f>IF($Z9="","",IF($Z9=1000000,"",IF($Z9=10000,0,IF($Z9&gt;9000,"",INT($Z9/60)))))</f>
        <v>4</v>
      </c>
      <c r="M9" s="327" t="str">
        <f>IF($Z9="","",IF($Z9=1000000,"",IF($Z9=10000,":",IF($Z9&gt;9000,"",":"))))</f>
        <v>:</v>
      </c>
      <c r="N9" s="140">
        <f>IF($Z9="","",IF($Z9=1000000,"DISQ",IF($Z9&gt;9000,10000-$Z9,$Z9-INT($Z9/60)*60)))</f>
        <v>14</v>
      </c>
      <c r="O9" s="243"/>
      <c r="P9" s="257">
        <f>IF($AA9="","",IF($AA9=1000000,"",IF($AA9=10000,0,IF($AA9&gt;9000,"",INT($AA9/60)))))</f>
        <v>3</v>
      </c>
      <c r="Q9" s="262" t="str">
        <f>IF($AA9=1000000,"",IF($AA9=10000,":",IF($AA9&gt;9000,"",":")))</f>
        <v>:</v>
      </c>
      <c r="R9" s="252">
        <f>IF($AA9="","",IF($AA9="","",IF($AA9=1000000,"DISQ",IF($AA9&gt;9000,10000-$AA9,$AA9-INT($AA9/60)*60))))</f>
        <v>55.19999999999999</v>
      </c>
      <c r="S9"/>
      <c r="T9" s="408">
        <v>7</v>
      </c>
      <c r="U9" s="409" t="s">
        <v>80</v>
      </c>
      <c r="V9" s="410">
        <v>35.3</v>
      </c>
      <c r="W9"/>
      <c r="X9" s="346">
        <f>IF($B9="","",VLOOKUP($B9,TempsF2Ce!$B$9:$AA$89,23))</f>
        <v>9981</v>
      </c>
      <c r="Y9" s="346">
        <f>IF($B9="","",VLOOKUP($B9,TempsF2Ce!$B$9:$AA$89,24))</f>
        <v>235.2</v>
      </c>
      <c r="Z9" s="346">
        <f>IF($B9="","",VLOOKUP($B9,TempsF2Ce!$B$9:$AA$89,25))</f>
        <v>254</v>
      </c>
      <c r="AA9" s="180">
        <f>IF($B9="","",MIN(X9:Z9))</f>
        <v>235.2</v>
      </c>
      <c r="AB9" s="180">
        <f>IF($B9="","",SUM(X9:Z9)-MAX(X9:Z9)-MIN(X9:Z9))</f>
        <v>254.00000000000074</v>
      </c>
      <c r="AC9" s="180">
        <f>IF($B9="","",MAX(X9:Z9))</f>
        <v>9981</v>
      </c>
      <c r="AD9" s="109">
        <f>IF($V9="","",IF(V9="DISQ",1000000,IF(T9=0,(10000-V9),T9*60+V9)))</f>
        <v>455.3</v>
      </c>
    </row>
    <row r="10" spans="1:30" ht="13.5">
      <c r="A10" s="406">
        <f>ROW(A10)-ROW(A$8)</f>
        <v>2</v>
      </c>
      <c r="B10" s="182">
        <v>35</v>
      </c>
      <c r="C10" s="29" t="str">
        <f>IF($B10="","",VLOOKUP($B10,DosF2C!$B$7:$E$100,2))</f>
        <v>USTINOV D. / ORESHKINE A.</v>
      </c>
      <c r="D10" s="270"/>
      <c r="E10" s="10" t="str">
        <f>IF($B10="","",VLOOKUP($B10,DosF2C!$B$7:$E$100,4))</f>
        <v>RUS</v>
      </c>
      <c r="F10" s="343"/>
      <c r="G10" s="327"/>
      <c r="H10" s="404" t="str">
        <f>IF($X10="","",IF($X10=1000000,"DISQ",IF($X10&gt;9000,10000-$X10,$X10-INT($X10/60)*60)))</f>
        <v>DISQ</v>
      </c>
      <c r="I10" s="327"/>
      <c r="J10" s="327"/>
      <c r="K10" s="404" t="str">
        <f>IF($Y10="","",IF($Y10=1000000,"DISQ",IF($Y10&gt;9000,10000-$Y10,$Y10-INT($Y10/60)*60)))</f>
        <v>DISQ</v>
      </c>
      <c r="L10" s="262">
        <f>IF($Z10="","",IF($Z10=1000000,"",IF($Z10=10000,0,IF($Z10&gt;9000,"",INT($Z10/60)))))</f>
        <v>4</v>
      </c>
      <c r="M10" s="262" t="str">
        <f>IF($Z10="","",IF($Z10=1000000,"",IF($Z10=10000,":",IF($Z10&gt;9000,"",":"))))</f>
        <v>:</v>
      </c>
      <c r="N10" s="252">
        <f>IF($Z10="","",IF($Z10=1000000,"DISQ",IF($Z10&gt;9000,10000-$Z10,$Z10-INT($Z10/60)*60)))</f>
        <v>8.800000000000011</v>
      </c>
      <c r="O10" s="243"/>
      <c r="P10" s="257">
        <f>IF($AA10="","",IF($AA10=1000000,"",IF($AA10=10000,0,IF($AA10&gt;9000,"",INT($AA10/60)))))</f>
        <v>4</v>
      </c>
      <c r="Q10" s="262" t="str">
        <f>IF($AA10=1000000,"",IF($AA10=10000,":",IF($AA10&gt;9000,"",":")))</f>
        <v>:</v>
      </c>
      <c r="R10" s="252">
        <f>IF($AA10="","",IF($AA10="","",IF($AA10=1000000,"DISQ",IF($AA10&gt;9000,10000-$AA10,$AA10-INT($AA10/60)*60))))</f>
        <v>8.800000000000011</v>
      </c>
      <c r="S10"/>
      <c r="T10" s="276"/>
      <c r="U10" s="137"/>
      <c r="V10" s="364">
        <v>185</v>
      </c>
      <c r="W10"/>
      <c r="X10" s="346">
        <f>IF($B10="","",VLOOKUP($B10,TempsF2Ce!$B$9:$AA$89,23))</f>
        <v>1000000</v>
      </c>
      <c r="Y10" s="346">
        <f>IF($B10="","",VLOOKUP($B10,TempsF2Ce!$B$9:$AA$89,24))</f>
        <v>1000000</v>
      </c>
      <c r="Z10" s="346">
        <f>IF($B10="","",VLOOKUP($B10,TempsF2Ce!$B$9:$AA$89,25))</f>
        <v>248.8</v>
      </c>
      <c r="AA10" s="180">
        <f>IF($B10="","",MIN(X10:Z10))</f>
        <v>248.8</v>
      </c>
      <c r="AB10" s="180">
        <f>IF($B10="","",SUM(X10:Z10)-MAX(X10:Z10)-MIN(X10:Z10))</f>
        <v>1000000</v>
      </c>
      <c r="AC10" s="180">
        <f>IF($B10="","",MAX(X10:Z10))</f>
        <v>1000000</v>
      </c>
      <c r="AD10" s="109">
        <f>IF($V10="","",IF(V10="DISQ",1000000,IF(T10=0,(10000-V10),T10*60+V10)))</f>
        <v>9815</v>
      </c>
    </row>
    <row r="11" spans="1:30" ht="13.5">
      <c r="A11" s="406">
        <f>ROW(A11)-ROW(A$8)</f>
        <v>3</v>
      </c>
      <c r="B11" s="182">
        <v>36</v>
      </c>
      <c r="C11" s="29" t="str">
        <f>IF($B11="","",VLOOKUP($B11,DosF2C!$B$7:$E$100,2))</f>
        <v>ABDHUL RAMAN N. / NAJIMUDEEN H.</v>
      </c>
      <c r="D11" s="270"/>
      <c r="E11" s="10" t="str">
        <f>IF($B11="","",VLOOKUP($B11,DosF2C!$B$7:$E$100,4))</f>
        <v>SIN</v>
      </c>
      <c r="F11" s="343"/>
      <c r="G11" s="327"/>
      <c r="H11" s="405">
        <f>IF($X11="","",IF($X11=1000000,"DISQ",IF($X11&gt;9000,10000-$X11,$X11-INT($X11/60)*60)))</f>
        <v>47</v>
      </c>
      <c r="I11" s="327"/>
      <c r="J11" s="327"/>
      <c r="K11" s="404" t="str">
        <f>IF($Y11="","",IF($Y11=1000000,"DISQ",IF($Y11&gt;9000,10000-$Y11,$Y11-INT($Y11/60)*60)))</f>
        <v>DISQ</v>
      </c>
      <c r="L11" s="262"/>
      <c r="M11" s="262"/>
      <c r="N11" s="367">
        <f>IF($Z11="","",IF($Z11=1000000,"DISQ",IF($Z11&gt;9000,10000-$Z11,$Z11-INT($Z11/60)*60)))</f>
        <v>76</v>
      </c>
      <c r="O11" s="243"/>
      <c r="P11" s="257"/>
      <c r="Q11" s="262"/>
      <c r="R11" s="364">
        <f>IF($AA11="","",IF($AA11="","",IF($AA11=1000000,"DISQ",IF($AA11&gt;9000,10000-$AA11,$AA11-INT($AA11/60)*60))))</f>
        <v>76</v>
      </c>
      <c r="S11"/>
      <c r="T11" s="411"/>
      <c r="U11" s="234"/>
      <c r="V11" s="412">
        <v>26</v>
      </c>
      <c r="W11"/>
      <c r="X11" s="346">
        <f>IF($B11="","",VLOOKUP($B11,TempsF2Ce!$B$9:$AA$89,23))</f>
        <v>9953</v>
      </c>
      <c r="Y11" s="346">
        <f>IF($B11="","",VLOOKUP($B11,TempsF2Ce!$B$9:$AA$89,24))</f>
        <v>1000000</v>
      </c>
      <c r="Z11" s="346">
        <f>IF($B11="","",VLOOKUP($B11,TempsF2Ce!$B$9:$AA$89,25))</f>
        <v>9924</v>
      </c>
      <c r="AA11" s="180">
        <f>IF($B11="","",MIN(X11:Z11))</f>
        <v>9924</v>
      </c>
      <c r="AB11" s="180">
        <f>IF($B11="","",SUM(X11:Z11)-MAX(X11:Z11)-MIN(X11:Z11))</f>
        <v>9953</v>
      </c>
      <c r="AC11" s="180">
        <f>IF($B11="","",MAX(X11:Z11))</f>
        <v>1000000</v>
      </c>
      <c r="AD11" s="109">
        <f>IF($V11="","",IF(V11="DISQ",1000000,IF(T11=0,(10000-V11),T11*60+V11)))</f>
        <v>9974</v>
      </c>
    </row>
    <row r="12" spans="1:30" ht="13.5">
      <c r="A12" s="260">
        <f>ROW(A12)-ROW(A$8)</f>
        <v>4</v>
      </c>
      <c r="B12" s="182">
        <v>29</v>
      </c>
      <c r="C12" s="29" t="str">
        <f>IF($B12="","",VLOOKUP($B12,DosF2C!$B$7:$E$100,2))</f>
        <v>ZUCHOWSKI M. / DABROWSKI K.</v>
      </c>
      <c r="D12" s="270"/>
      <c r="E12" s="10" t="str">
        <f>IF($B12="","",VLOOKUP($B12,DosF2C!$B$7:$E$100,4))</f>
        <v>POL</v>
      </c>
      <c r="F12" s="343"/>
      <c r="G12" s="327"/>
      <c r="H12" s="404" t="str">
        <f>IF($X12="","",IF($X12=1000000,"DISQ",IF($X12&gt;9000,10000-$X12,$X12-INT($X12/60)*60)))</f>
        <v>DISQ</v>
      </c>
      <c r="I12" s="327">
        <f>IF($Y12="","",IF($Y12=1000000,"",IF($Y12=10000,0,IF($Y12&gt;9000,"",INT($Y12/60)))))</f>
        <v>0</v>
      </c>
      <c r="J12" s="327" t="str">
        <f>IF($Y12="","",IF($Y12=1000000,"",IF($Y12=10000,":",IF($Y12&gt;9000,"",":"))))</f>
        <v>:</v>
      </c>
      <c r="K12" s="354">
        <f>IF($Y12="","",IF($Y12=1000000,"DISQ",IF($Y12&gt;9000,10000-$Y12,$Y12-INT($Y12/60)*60)))</f>
        <v>0</v>
      </c>
      <c r="L12" s="262"/>
      <c r="M12" s="262"/>
      <c r="N12" s="367">
        <f>IF($Z12="","",IF($Z12=1000000,"DISQ",IF($Z12&gt;9000,10000-$Z12,$Z12-INT($Z12/60)*60)))</f>
        <v>56</v>
      </c>
      <c r="O12" s="243"/>
      <c r="P12" s="257"/>
      <c r="Q12" s="262"/>
      <c r="R12" s="364">
        <f>IF($AA12="","",IF($AA12="","",IF($AA12=1000000,"DISQ",IF($AA12&gt;9000,10000-$AA12,$AA12-INT($AA12/60)*60))))</f>
        <v>56</v>
      </c>
      <c r="S12"/>
      <c r="T12" s="413"/>
      <c r="U12" s="145"/>
      <c r="V12" s="414"/>
      <c r="W12"/>
      <c r="X12" s="346">
        <f>IF($B12="","",VLOOKUP($B12,TempsF2Ce!$B$9:$AA$89,23))</f>
        <v>1000000</v>
      </c>
      <c r="Y12" s="346">
        <f>IF($B12="","",VLOOKUP($B12,TempsF2Ce!$B$9:$AA$89,24))</f>
        <v>10000</v>
      </c>
      <c r="Z12" s="346">
        <f>IF($B12="","",VLOOKUP($B12,TempsF2Ce!$B$9:$AA$89,25))</f>
        <v>9944</v>
      </c>
      <c r="AA12" s="180">
        <f>IF($B12="","",MIN(X12:Z12))</f>
        <v>9944</v>
      </c>
      <c r="AB12" s="180">
        <f>IF($B12="","",SUM(X12:Z12)-MAX(X12:Z12)-MIN(X12:Z12))</f>
        <v>10000</v>
      </c>
      <c r="AC12" s="180">
        <f>IF($B12="","",MAX(X12:Z12))</f>
        <v>1000000</v>
      </c>
      <c r="AD12" s="109">
        <f>IF($V12="","",IF(V12="DISQ",1000000,IF(T12=0,(10000-V12),T12*60+V12)))</f>
      </c>
    </row>
    <row r="13" spans="1:30" ht="13.5" hidden="1">
      <c r="A13" s="356"/>
      <c r="B13" s="313"/>
      <c r="C13" s="31"/>
      <c r="D13" s="318"/>
      <c r="E13" s="15"/>
      <c r="F13" s="319"/>
      <c r="G13" s="274"/>
      <c r="H13" s="275"/>
      <c r="I13" s="319"/>
      <c r="J13" s="274"/>
      <c r="K13" s="275"/>
      <c r="L13" s="319"/>
      <c r="M13" s="274"/>
      <c r="N13" s="275"/>
      <c r="O13" s="243"/>
      <c r="P13" s="261"/>
      <c r="Q13" s="311"/>
      <c r="R13" s="312"/>
      <c r="S13"/>
      <c r="T13" s="415"/>
      <c r="U13" s="90"/>
      <c r="V13" s="416"/>
      <c r="W13"/>
      <c r="X13" s="142"/>
      <c r="Y13" s="142"/>
      <c r="Z13" s="142"/>
      <c r="AA13" s="109"/>
      <c r="AB13" s="109"/>
      <c r="AC13" s="109"/>
      <c r="AD13" s="109"/>
    </row>
    <row r="14" spans="1:22" ht="11.25">
      <c r="A14" s="143"/>
      <c r="B14" s="144"/>
      <c r="C14" s="4"/>
      <c r="D14" s="4"/>
      <c r="E14" s="143"/>
      <c r="F14" s="183"/>
      <c r="G14" s="118"/>
      <c r="H14" s="184"/>
      <c r="I14" s="183"/>
      <c r="J14" s="118"/>
      <c r="K14" s="184"/>
      <c r="L14" s="183"/>
      <c r="M14" s="118"/>
      <c r="N14" s="184"/>
      <c r="O14"/>
      <c r="P14" s="4"/>
      <c r="Q14" s="4"/>
      <c r="R14" s="4"/>
      <c r="U14" s="417"/>
      <c r="V14" s="418"/>
    </row>
    <row r="15" spans="6:25" ht="11.25">
      <c r="F15" s="159"/>
      <c r="H15" s="164"/>
      <c r="I15" s="159"/>
      <c r="K15" s="164"/>
      <c r="L15" s="159"/>
      <c r="N15" s="164"/>
      <c r="O15"/>
      <c r="P15"/>
      <c r="Q15"/>
      <c r="R15"/>
      <c r="Y15" s="186"/>
    </row>
    <row r="16" spans="6:18" ht="11.25">
      <c r="F16" s="159"/>
      <c r="H16" s="164"/>
      <c r="I16" s="159"/>
      <c r="K16" s="164"/>
      <c r="L16" s="159"/>
      <c r="N16" s="164"/>
      <c r="O16"/>
      <c r="P16"/>
      <c r="Q16"/>
      <c r="R16"/>
    </row>
    <row r="17" spans="6:18" ht="11.25">
      <c r="F17" s="159"/>
      <c r="H17" s="164"/>
      <c r="I17" s="159"/>
      <c r="K17" s="164"/>
      <c r="L17" s="159"/>
      <c r="N17" s="164"/>
      <c r="O17"/>
      <c r="P17"/>
      <c r="Q17"/>
      <c r="R17"/>
    </row>
    <row r="18" spans="6:18" ht="11.25">
      <c r="F18" s="159"/>
      <c r="H18" s="164"/>
      <c r="I18" s="159"/>
      <c r="K18" s="164"/>
      <c r="L18" s="159"/>
      <c r="N18" s="164"/>
      <c r="O18"/>
      <c r="P18"/>
      <c r="Q18"/>
      <c r="R18"/>
    </row>
    <row r="19" spans="6:18" ht="11.25">
      <c r="F19" s="159"/>
      <c r="H19" s="164"/>
      <c r="I19" s="159"/>
      <c r="K19" s="164"/>
      <c r="L19" s="159"/>
      <c r="N19" s="164"/>
      <c r="O19"/>
      <c r="P19"/>
      <c r="Q19"/>
      <c r="R19"/>
    </row>
    <row r="20" spans="6:18" ht="11.25">
      <c r="F20" s="159"/>
      <c r="H20" s="164"/>
      <c r="I20" s="159"/>
      <c r="K20" s="164"/>
      <c r="L20" s="159"/>
      <c r="N20" s="164"/>
      <c r="O20"/>
      <c r="P20"/>
      <c r="Q20"/>
      <c r="R20"/>
    </row>
    <row r="21" spans="6:18" ht="11.25">
      <c r="F21" s="159"/>
      <c r="H21" s="164"/>
      <c r="I21" s="159"/>
      <c r="K21" s="164"/>
      <c r="L21" s="159"/>
      <c r="N21" s="164"/>
      <c r="O21"/>
      <c r="P21"/>
      <c r="Q21"/>
      <c r="R21"/>
    </row>
    <row r="22" spans="15:18" ht="11.25">
      <c r="O22"/>
      <c r="P22"/>
      <c r="Q22"/>
      <c r="R22"/>
    </row>
    <row r="23" spans="15:18" ht="11.25">
      <c r="O23"/>
      <c r="P23"/>
      <c r="Q23"/>
      <c r="R23"/>
    </row>
    <row r="24" spans="15:18" ht="11.25">
      <c r="O24"/>
      <c r="P24"/>
      <c r="Q24"/>
      <c r="R24"/>
    </row>
    <row r="25" spans="15:18" ht="11.25">
      <c r="O25"/>
      <c r="P25"/>
      <c r="Q25"/>
      <c r="R25"/>
    </row>
    <row r="26" spans="15:18" ht="11.25">
      <c r="O26"/>
      <c r="P26"/>
      <c r="Q26"/>
      <c r="R26"/>
    </row>
    <row r="27" spans="15:18" ht="11.25">
      <c r="O27"/>
      <c r="P27"/>
      <c r="Q27"/>
      <c r="R27"/>
    </row>
    <row r="28" spans="15:18" ht="11.25">
      <c r="O28"/>
      <c r="P28"/>
      <c r="Q28"/>
      <c r="R28"/>
    </row>
    <row r="29" spans="15:18" ht="11.25">
      <c r="O29"/>
      <c r="P29"/>
      <c r="Q29"/>
      <c r="R29"/>
    </row>
    <row r="30" spans="15:18" ht="11.25">
      <c r="O30"/>
      <c r="P30"/>
      <c r="Q30"/>
      <c r="R30"/>
    </row>
    <row r="31" spans="15:18" ht="11.25">
      <c r="O31"/>
      <c r="P31"/>
      <c r="Q31"/>
      <c r="R31"/>
    </row>
    <row r="32" spans="15:18" ht="11.25">
      <c r="O32"/>
      <c r="P32"/>
      <c r="Q32"/>
      <c r="R32"/>
    </row>
    <row r="33" spans="15:18" ht="11.25">
      <c r="O33"/>
      <c r="P33"/>
      <c r="Q33"/>
      <c r="R33"/>
    </row>
    <row r="34" spans="15:18" ht="11.25">
      <c r="O34"/>
      <c r="P34"/>
      <c r="Q34"/>
      <c r="R34"/>
    </row>
    <row r="35" spans="15:18" ht="11.25">
      <c r="O35"/>
      <c r="P35"/>
      <c r="Q35"/>
      <c r="R35"/>
    </row>
    <row r="36" spans="15:18" ht="11.25">
      <c r="O36"/>
      <c r="P36"/>
      <c r="Q36"/>
      <c r="R36"/>
    </row>
    <row r="37" spans="15:18" ht="11.25">
      <c r="O37"/>
      <c r="P37"/>
      <c r="Q37"/>
      <c r="R37"/>
    </row>
    <row r="38" spans="15:18" ht="11.25">
      <c r="O38"/>
      <c r="P38"/>
      <c r="Q38"/>
      <c r="R38"/>
    </row>
    <row r="39" spans="15:18" ht="11.25">
      <c r="O39"/>
      <c r="P39"/>
      <c r="Q39"/>
      <c r="R39"/>
    </row>
    <row r="40" spans="15:18" ht="11.25">
      <c r="O40"/>
      <c r="P40"/>
      <c r="Q40"/>
      <c r="R40"/>
    </row>
    <row r="41" spans="15:18" ht="11.25">
      <c r="O41"/>
      <c r="P41"/>
      <c r="Q41"/>
      <c r="R41"/>
    </row>
    <row r="42" spans="15:18" ht="11.25">
      <c r="O42"/>
      <c r="P42"/>
      <c r="Q42"/>
      <c r="R42"/>
    </row>
    <row r="43" spans="15:18" ht="11.25">
      <c r="O43"/>
      <c r="P43"/>
      <c r="Q43"/>
      <c r="R43"/>
    </row>
    <row r="44" spans="15:18" ht="11.25">
      <c r="O44"/>
      <c r="P44"/>
      <c r="Q44"/>
      <c r="R44"/>
    </row>
    <row r="45" spans="15:18" ht="11.25">
      <c r="O45"/>
      <c r="P45"/>
      <c r="Q45"/>
      <c r="R45"/>
    </row>
    <row r="46" spans="15:18" ht="11.25">
      <c r="O46"/>
      <c r="P46"/>
      <c r="Q46"/>
      <c r="R46"/>
    </row>
    <row r="47" spans="15:18" ht="11.25">
      <c r="O47"/>
      <c r="P47"/>
      <c r="Q47"/>
      <c r="R47"/>
    </row>
    <row r="48" spans="15:18" ht="11.25">
      <c r="O48"/>
      <c r="P48"/>
      <c r="Q48"/>
      <c r="R48"/>
    </row>
    <row r="49" spans="15:18" ht="11.25">
      <c r="O49"/>
      <c r="P49"/>
      <c r="Q49"/>
      <c r="R49"/>
    </row>
    <row r="50" spans="15:18" ht="11.25">
      <c r="O50"/>
      <c r="P50"/>
      <c r="Q50"/>
      <c r="R50"/>
    </row>
    <row r="51" spans="15:18" ht="11.25">
      <c r="O51"/>
      <c r="P51"/>
      <c r="Q51"/>
      <c r="R51"/>
    </row>
    <row r="52" spans="15:18" ht="11.25">
      <c r="O52"/>
      <c r="P52"/>
      <c r="Q52"/>
      <c r="R52"/>
    </row>
    <row r="53" spans="15:18" ht="11.25">
      <c r="O53"/>
      <c r="P53"/>
      <c r="Q53"/>
      <c r="R53"/>
    </row>
    <row r="54" spans="15:18" ht="11.25">
      <c r="O54"/>
      <c r="P54"/>
      <c r="Q54"/>
      <c r="R54"/>
    </row>
    <row r="55" spans="15:18" ht="11.25">
      <c r="O55"/>
      <c r="P55"/>
      <c r="Q55"/>
      <c r="R55"/>
    </row>
    <row r="56" spans="15:18" ht="11.25">
      <c r="O56"/>
      <c r="P56"/>
      <c r="Q56"/>
      <c r="R56"/>
    </row>
    <row r="57" spans="15:18" ht="11.25">
      <c r="O57"/>
      <c r="P57"/>
      <c r="Q57"/>
      <c r="R57"/>
    </row>
    <row r="58" spans="15:18" ht="11.25">
      <c r="O58"/>
      <c r="P58"/>
      <c r="Q58"/>
      <c r="R58"/>
    </row>
    <row r="59" spans="15:18" ht="11.25">
      <c r="O59"/>
      <c r="P59"/>
      <c r="Q59"/>
      <c r="R59"/>
    </row>
    <row r="60" spans="15:18" ht="11.25">
      <c r="O60"/>
      <c r="P60"/>
      <c r="Q60"/>
      <c r="R60"/>
    </row>
    <row r="61" spans="15:18" ht="11.25">
      <c r="O61"/>
      <c r="P61"/>
      <c r="Q61"/>
      <c r="R61"/>
    </row>
    <row r="62" spans="15:18" ht="11.25">
      <c r="O62"/>
      <c r="P62"/>
      <c r="Q62"/>
      <c r="R62"/>
    </row>
    <row r="63" spans="15:18" ht="11.25">
      <c r="O63"/>
      <c r="P63"/>
      <c r="Q63"/>
      <c r="R63"/>
    </row>
  </sheetData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workbookViewId="0" topLeftCell="A1">
      <selection activeCell="P12" sqref="P12"/>
    </sheetView>
  </sheetViews>
  <sheetFormatPr defaultColWidth="9.140625" defaultRowHeight="12.75"/>
  <cols>
    <col min="1" max="1" width="7.00390625" style="0" customWidth="1"/>
    <col min="2" max="2" width="15.140625" style="0" customWidth="1"/>
    <col min="3" max="3" width="4.57421875" style="222" customWidth="1"/>
    <col min="4" max="4" width="6.7109375" style="185" customWidth="1"/>
    <col min="5" max="5" width="4.57421875" style="222" customWidth="1"/>
    <col min="6" max="6" width="6.7109375" style="185" customWidth="1"/>
    <col min="7" max="7" width="4.57421875" style="222" customWidth="1"/>
    <col min="8" max="8" width="6.7109375" style="185" customWidth="1"/>
    <col min="9" max="9" width="4.57421875" style="222" customWidth="1"/>
    <col min="10" max="10" width="6.7109375" style="185" customWidth="1"/>
    <col min="11" max="11" width="8.57421875" style="198" customWidth="1"/>
    <col min="12" max="12" width="3.421875" style="198" customWidth="1"/>
    <col min="13" max="13" width="3.7109375" style="142" customWidth="1"/>
    <col min="14" max="14" width="6.00390625" style="0" customWidth="1"/>
    <col min="15" max="16384" width="11.421875" style="0" customWidth="1"/>
  </cols>
  <sheetData>
    <row r="1" spans="1:14" ht="3" customHeight="1">
      <c r="A1" s="35"/>
      <c r="B1" s="35"/>
      <c r="C1" s="187"/>
      <c r="D1" s="188"/>
      <c r="E1" s="28"/>
      <c r="F1" s="142"/>
      <c r="G1" s="189"/>
      <c r="H1" s="142"/>
      <c r="I1" s="190"/>
      <c r="J1" s="180"/>
      <c r="K1" s="40"/>
      <c r="L1" s="40"/>
      <c r="M1" s="180"/>
      <c r="N1" s="109"/>
    </row>
    <row r="2" spans="1:14" ht="13.5">
      <c r="A2" s="35"/>
      <c r="B2" s="35"/>
      <c r="C2" s="191" t="s">
        <v>109</v>
      </c>
      <c r="D2" s="192"/>
      <c r="E2" s="193"/>
      <c r="F2" s="171"/>
      <c r="G2" s="28"/>
      <c r="H2" s="194" t="s">
        <v>110</v>
      </c>
      <c r="I2" s="193"/>
      <c r="J2" s="171"/>
      <c r="K2" s="40"/>
      <c r="L2" s="40"/>
      <c r="M2" s="180"/>
      <c r="N2" s="109"/>
    </row>
    <row r="3" spans="2:14" ht="12.75">
      <c r="B3" s="35"/>
      <c r="C3" s="195"/>
      <c r="D3" s="196"/>
      <c r="E3" s="195"/>
      <c r="F3" s="196"/>
      <c r="G3" s="197"/>
      <c r="H3" s="196"/>
      <c r="I3" s="195"/>
      <c r="J3" s="196"/>
      <c r="N3" s="199"/>
    </row>
    <row r="4" spans="1:13" ht="3" customHeight="1">
      <c r="A4" s="200" t="s">
        <v>2</v>
      </c>
      <c r="B4" s="5"/>
      <c r="C4" s="201"/>
      <c r="D4" s="202"/>
      <c r="E4" s="201"/>
      <c r="F4" s="202"/>
      <c r="G4" s="201"/>
      <c r="H4" s="202"/>
      <c r="I4" s="201"/>
      <c r="J4" s="202"/>
      <c r="K4" s="203"/>
      <c r="L4" s="40"/>
      <c r="M4" s="180"/>
    </row>
    <row r="5" spans="1:15" ht="22.5">
      <c r="A5" s="204" t="s">
        <v>84</v>
      </c>
      <c r="B5" s="205" t="s">
        <v>3</v>
      </c>
      <c r="C5" s="206"/>
      <c r="D5" s="207" t="s">
        <v>111</v>
      </c>
      <c r="E5" s="206"/>
      <c r="F5" s="207" t="s">
        <v>112</v>
      </c>
      <c r="G5" s="206"/>
      <c r="H5" s="207" t="s">
        <v>113</v>
      </c>
      <c r="I5" s="206"/>
      <c r="J5" s="207" t="s">
        <v>114</v>
      </c>
      <c r="K5" s="208" t="s">
        <v>115</v>
      </c>
      <c r="L5" s="209"/>
      <c r="M5" s="210"/>
      <c r="N5" s="299">
        <f>'Semi-Results'!P2</f>
        <v>16</v>
      </c>
      <c r="O5" s="259" t="s">
        <v>116</v>
      </c>
    </row>
    <row r="6" spans="1:13" ht="3" customHeight="1">
      <c r="A6" s="211"/>
      <c r="B6" s="9"/>
      <c r="C6" s="212"/>
      <c r="D6" s="213"/>
      <c r="E6" s="212"/>
      <c r="F6" s="213"/>
      <c r="G6" s="212"/>
      <c r="H6" s="213"/>
      <c r="I6" s="212"/>
      <c r="J6" s="213"/>
      <c r="K6" s="65"/>
      <c r="L6" s="40"/>
      <c r="M6" s="180"/>
    </row>
    <row r="7" spans="1:14" ht="11.25">
      <c r="A7" s="406">
        <f aca="true" t="shared" si="0" ref="A7:A25">ROW(A7)-ROW(A$6)</f>
        <v>1</v>
      </c>
      <c r="B7" s="214" t="s">
        <v>117</v>
      </c>
      <c r="C7" s="215">
        <v>13</v>
      </c>
      <c r="D7" s="216">
        <f>IF(VLOOKUP(C7,'F2CeInd'!$A$1:'F2CeInd'!$C$88,2)&lt;($N$5+1),VLOOKUP(C7,'F2CsInd'!$A$1:'F2CsInd'!$C$20,2),VLOOKUP(C7,'F2CeInd'!$A$1:'F2CeInd'!$C$88,2))</f>
        <v>1</v>
      </c>
      <c r="E7" s="215">
        <v>14</v>
      </c>
      <c r="F7" s="216">
        <f>IF(VLOOKUP(E7,'F2CeInd'!$A$1:'F2CeInd'!$C$88,2)&lt;($N$5+1),VLOOKUP(E7,'F2CsInd'!$A$1:'F2CsInd'!$C$20,2),VLOOKUP(E7,'F2CeInd'!$A$1:'F2CeInd'!$C$88,2))</f>
        <v>6</v>
      </c>
      <c r="G7" s="215">
        <v>15</v>
      </c>
      <c r="H7" s="216">
        <f>IF(VLOOKUP(G7,'F2CeInd'!$A$1:'F2CeInd'!$C$88,2)&lt;($N$5+1),VLOOKUP(G7,'F2CsInd'!$A$1:'F2CsInd'!$C$20,2),VLOOKUP(G7,'F2CeInd'!$A$1:'F2CeInd'!$C$88,2))</f>
        <v>4</v>
      </c>
      <c r="I7" s="215">
        <v>16</v>
      </c>
      <c r="J7" s="216">
        <f>IF(VLOOKUP(I7,'F2CeInd'!$A$1:'F2CeInd'!$C$88,2)&lt;($N$5+1),VLOOKUP(I7,'F2CsInd'!$A$1:'F2CsInd'!$C$20,2),VLOOKUP(I7,'F2CeInd'!$A$1:'F2CeInd'!$C$88,2))</f>
        <v>38</v>
      </c>
      <c r="K7" s="217">
        <f aca="true" t="shared" si="1" ref="K7:K13">IF(N7=4,SUM(D7,F7,H7,J7)-MAX(D7,F7,H7,J7),SUM(D7,F7,H7,J7))</f>
        <v>11</v>
      </c>
      <c r="L7" s="40"/>
      <c r="M7" s="180">
        <f aca="true" t="shared" si="2" ref="M7:M13">IF(N7=4,3,N7)</f>
        <v>3</v>
      </c>
      <c r="N7">
        <f aca="true" t="shared" si="3" ref="N7:N13">COUNTA(C7,E7,G7,I7)</f>
        <v>4</v>
      </c>
    </row>
    <row r="8" spans="1:14" ht="11.25">
      <c r="A8" s="406">
        <f t="shared" si="0"/>
        <v>2</v>
      </c>
      <c r="B8" s="214" t="s">
        <v>118</v>
      </c>
      <c r="C8" s="215">
        <v>45</v>
      </c>
      <c r="D8" s="216">
        <f>IF(VLOOKUP(C8,'F2CeInd'!$A$1:'F2CeInd'!$C$88,2)&lt;($N$5+1),VLOOKUP(C8,'F2CsInd'!$A$1:'F2CsInd'!$C$20,2),VLOOKUP(C8,'F2CeInd'!$A$1:'F2CeInd'!$C$88,2))</f>
        <v>2</v>
      </c>
      <c r="E8" s="215">
        <v>46</v>
      </c>
      <c r="F8" s="216">
        <f>IF(VLOOKUP(E8,'F2CeInd'!$A$1:'F2CeInd'!$C$88,2)&lt;($N$5+1),VLOOKUP(E8,'F2CsInd'!$A$1:'F2CsInd'!$C$20,2),VLOOKUP(E8,'F2CeInd'!$A$1:'F2CeInd'!$C$88,2))</f>
        <v>15</v>
      </c>
      <c r="G8" s="215">
        <v>47</v>
      </c>
      <c r="H8" s="216">
        <f>IF(VLOOKUP(G8,'F2CeInd'!$A$1:'F2CeInd'!$C$88,2)&lt;($N$5+1),VLOOKUP(G8,'F2CsInd'!$A$1:'F2CsInd'!$C$20,2),VLOOKUP(G8,'F2CeInd'!$A$1:'F2CeInd'!$C$88,2))</f>
        <v>14</v>
      </c>
      <c r="I8" s="215"/>
      <c r="J8" s="216"/>
      <c r="K8" s="217">
        <f t="shared" si="1"/>
        <v>31</v>
      </c>
      <c r="L8" s="40"/>
      <c r="M8" s="180">
        <f t="shared" si="2"/>
        <v>3</v>
      </c>
      <c r="N8">
        <f t="shared" si="3"/>
        <v>3</v>
      </c>
    </row>
    <row r="9" spans="1:14" ht="11.25">
      <c r="A9" s="406">
        <f t="shared" si="0"/>
        <v>3</v>
      </c>
      <c r="B9" s="214" t="s">
        <v>119</v>
      </c>
      <c r="C9" s="215">
        <v>24</v>
      </c>
      <c r="D9" s="216">
        <f>IF(VLOOKUP(C9,'F2CeInd'!$A$1:'F2CeInd'!$C$88,2)&lt;($N$5+1),VLOOKUP(C9,'F2CsInd'!$A$1:'F2CsInd'!$C$20,2),VLOOKUP(C9,'F2CeInd'!$A$1:'F2CeInd'!$C$88,2))</f>
        <v>13</v>
      </c>
      <c r="E9" s="215">
        <v>25</v>
      </c>
      <c r="F9" s="216">
        <f>IF(VLOOKUP(E9,'F2CeInd'!$A$1:'F2CeInd'!$C$88,2)&lt;($N$5+1),VLOOKUP(E9,'F2CsInd'!$A$1:'F2CsInd'!$C$20,2),VLOOKUP(E9,'F2CeInd'!$A$1:'F2CeInd'!$C$88,2))</f>
        <v>12</v>
      </c>
      <c r="G9" s="215">
        <v>26</v>
      </c>
      <c r="H9" s="216">
        <f>IF(VLOOKUP(G9,'F2CeInd'!$A$1:'F2CeInd'!$C$88,2)&lt;($N$5+1),VLOOKUP(G9,'F2CsInd'!$A$1:'F2CsInd'!$C$20,2),VLOOKUP(G9,'F2CeInd'!$A$1:'F2CeInd'!$C$88,2))</f>
        <v>10</v>
      </c>
      <c r="I9" s="215"/>
      <c r="J9" s="216"/>
      <c r="K9" s="217">
        <f t="shared" si="1"/>
        <v>35</v>
      </c>
      <c r="L9" s="40"/>
      <c r="M9" s="180">
        <f t="shared" si="2"/>
        <v>3</v>
      </c>
      <c r="N9">
        <f t="shared" si="3"/>
        <v>3</v>
      </c>
    </row>
    <row r="10" spans="1:14" ht="11.25">
      <c r="A10" s="218">
        <f t="shared" si="0"/>
        <v>4</v>
      </c>
      <c r="B10" s="214" t="s">
        <v>120</v>
      </c>
      <c r="C10" s="215">
        <v>32</v>
      </c>
      <c r="D10" s="216">
        <f>IF(VLOOKUP(C10,'F2CeInd'!$A$1:'F2CeInd'!$C$88,2)&lt;($N$5+1),VLOOKUP(C10,'F2CsInd'!$A$1:'F2CsInd'!$C$20,2),VLOOKUP(C10,'F2CeInd'!$A$1:'F2CeInd'!$C$88,2))</f>
        <v>3</v>
      </c>
      <c r="E10" s="215">
        <v>33</v>
      </c>
      <c r="F10" s="216">
        <f>IF(VLOOKUP(E10,'F2CeInd'!$A$1:'F2CeInd'!$C$88,2)&lt;($N$5+1),VLOOKUP(E10,'F2CsInd'!$A$1:'F2CsInd'!$C$20,2),VLOOKUP(E10,'F2CeInd'!$A$1:'F2CeInd'!$C$88,2))</f>
        <v>27</v>
      </c>
      <c r="G10" s="215">
        <v>34</v>
      </c>
      <c r="H10" s="216">
        <f>IF(VLOOKUP(G10,'F2CeInd'!$A$1:'F2CeInd'!$C$88,2)&lt;($N$5+1),VLOOKUP(G10,'F2CsInd'!$A$1:'F2CsInd'!$C$20,2),VLOOKUP(G10,'F2CeInd'!$A$1:'F2CeInd'!$C$88,2))</f>
        <v>8</v>
      </c>
      <c r="I10" s="215">
        <v>35</v>
      </c>
      <c r="J10" s="216">
        <f>IF(VLOOKUP(I10,'F2CeInd'!$A$1:'F2CeInd'!$C$88,2)&lt;($N$5+1),VLOOKUP(I10,'F2CsInd'!$A$1:'F2CsInd'!$C$20,2),VLOOKUP(I10,'F2CeInd'!$A$1:'F2CeInd'!$C$88,2))</f>
        <v>42</v>
      </c>
      <c r="K10" s="217">
        <f t="shared" si="1"/>
        <v>38</v>
      </c>
      <c r="L10" s="40"/>
      <c r="M10" s="180">
        <f t="shared" si="2"/>
        <v>3</v>
      </c>
      <c r="N10">
        <f t="shared" si="3"/>
        <v>4</v>
      </c>
    </row>
    <row r="11" spans="1:14" ht="11.25">
      <c r="A11" s="218">
        <f t="shared" si="0"/>
        <v>5</v>
      </c>
      <c r="B11" s="214" t="s">
        <v>121</v>
      </c>
      <c r="C11" s="215">
        <v>19</v>
      </c>
      <c r="D11" s="216">
        <f>IF(VLOOKUP(C11,'F2CeInd'!$A$1:'F2CeInd'!$C$88,2)&lt;($N$5+1),VLOOKUP(C11,'F2CsInd'!$A$1:'F2CsInd'!$C$20,2),VLOOKUP(C11,'F2CeInd'!$A$1:'F2CeInd'!$C$88,2))</f>
        <v>9</v>
      </c>
      <c r="E11" s="215">
        <v>20</v>
      </c>
      <c r="F11" s="216">
        <f>IF(VLOOKUP(E11,'F2CeInd'!$A$1:'F2CeInd'!$C$88,2)&lt;($N$5+1),VLOOKUP(E11,'F2CsInd'!$A$1:'F2CsInd'!$C$20,2),VLOOKUP(E11,'F2CeInd'!$A$1:'F2CeInd'!$C$88,2))</f>
        <v>23</v>
      </c>
      <c r="G11" s="215">
        <v>21</v>
      </c>
      <c r="H11" s="216">
        <f>IF(VLOOKUP(G11,'F2CeInd'!$A$1:'F2CeInd'!$C$88,2)&lt;($N$5+1),VLOOKUP(G11,'F2CsInd'!$A$1:'F2CsInd'!$C$20,2),VLOOKUP(G11,'F2CeInd'!$A$1:'F2CeInd'!$C$88,2))</f>
        <v>17</v>
      </c>
      <c r="I11" s="215"/>
      <c r="J11" s="216"/>
      <c r="K11" s="217">
        <f t="shared" si="1"/>
        <v>49</v>
      </c>
      <c r="L11" s="40"/>
      <c r="M11" s="180">
        <f t="shared" si="2"/>
        <v>3</v>
      </c>
      <c r="N11">
        <f t="shared" si="3"/>
        <v>3</v>
      </c>
    </row>
    <row r="12" spans="1:14" ht="11.25">
      <c r="A12" s="218">
        <f t="shared" si="0"/>
        <v>6</v>
      </c>
      <c r="B12" s="214" t="s">
        <v>122</v>
      </c>
      <c r="C12" s="215">
        <v>42</v>
      </c>
      <c r="D12" s="216">
        <f>IF(VLOOKUP(C12,'F2CeInd'!$A$1:'F2CeInd'!$C$88,2)&lt;($N$5+1),VLOOKUP(C12,'F2CsInd'!$A$1:'F2CsInd'!$C$20,2),VLOOKUP(C12,'F2CeInd'!$A$1:'F2CeInd'!$C$88,2))</f>
        <v>21</v>
      </c>
      <c r="E12" s="215">
        <v>43</v>
      </c>
      <c r="F12" s="216">
        <f>IF(VLOOKUP(E12,'F2CeInd'!$A$1:'F2CeInd'!$C$88,2)&lt;($N$5+1),VLOOKUP(E12,'F2CsInd'!$A$1:'F2CsInd'!$C$20,2),VLOOKUP(E12,'F2CeInd'!$A$1:'F2CeInd'!$C$88,2))</f>
        <v>25</v>
      </c>
      <c r="G12" s="215">
        <v>44</v>
      </c>
      <c r="H12" s="216">
        <f>IF(VLOOKUP(G12,'F2CeInd'!$A$1:'F2CeInd'!$C$88,2)&lt;($N$5+1),VLOOKUP(G12,'F2CsInd'!$A$1:'F2CsInd'!$C$20,2),VLOOKUP(G12,'F2CeInd'!$A$1:'F2CeInd'!$C$88,2))</f>
        <v>32</v>
      </c>
      <c r="I12" s="215"/>
      <c r="J12" s="216"/>
      <c r="K12" s="217">
        <f t="shared" si="1"/>
        <v>78</v>
      </c>
      <c r="L12" s="40"/>
      <c r="M12" s="180">
        <f t="shared" si="2"/>
        <v>3</v>
      </c>
      <c r="N12">
        <f t="shared" si="3"/>
        <v>3</v>
      </c>
    </row>
    <row r="13" spans="1:14" ht="11.25">
      <c r="A13" s="218">
        <f t="shared" si="0"/>
        <v>7</v>
      </c>
      <c r="B13" s="214" t="s">
        <v>123</v>
      </c>
      <c r="C13" s="215">
        <v>10</v>
      </c>
      <c r="D13" s="216">
        <f>IF(VLOOKUP(C13,'F2CeInd'!$A$1:'F2CeInd'!$C$88,2)&lt;($N$5+1),VLOOKUP(C13,'F2CsInd'!$A$1:'F2CsInd'!$C$20,2),VLOOKUP(C13,'F2CeInd'!$A$1:'F2CeInd'!$C$88,2))</f>
        <v>29</v>
      </c>
      <c r="E13" s="215">
        <v>11</v>
      </c>
      <c r="F13" s="216">
        <f>IF(VLOOKUP(E13,'F2CeInd'!$A$1:'F2CeInd'!$C$88,2)&lt;($N$5+1),VLOOKUP(E13,'F2CsInd'!$A$1:'F2CsInd'!$C$20,2),VLOOKUP(E13,'F2CeInd'!$A$1:'F2CeInd'!$C$88,2))</f>
        <v>20</v>
      </c>
      <c r="G13" s="215">
        <v>12</v>
      </c>
      <c r="H13" s="216">
        <f>IF(VLOOKUP(G13,'F2CeInd'!$A$1:'F2CeInd'!$C$88,2)&lt;($N$5+1),VLOOKUP(G13,'F2CsInd'!$A$1:'F2CsInd'!$C$20,2),VLOOKUP(G13,'F2CeInd'!$A$1:'F2CeInd'!$C$88,2))</f>
        <v>30</v>
      </c>
      <c r="I13" s="215"/>
      <c r="J13" s="216"/>
      <c r="K13" s="217">
        <f t="shared" si="1"/>
        <v>79</v>
      </c>
      <c r="L13" s="40"/>
      <c r="M13" s="180">
        <f t="shared" si="2"/>
        <v>3</v>
      </c>
      <c r="N13">
        <f t="shared" si="3"/>
        <v>3</v>
      </c>
    </row>
    <row r="14" spans="1:14" ht="11.25">
      <c r="A14" s="260">
        <f t="shared" si="0"/>
        <v>8</v>
      </c>
      <c r="B14" s="214" t="s">
        <v>124</v>
      </c>
      <c r="C14" s="215">
        <v>2</v>
      </c>
      <c r="D14" s="216">
        <f>IF(VLOOKUP(C14,'F2CeInd'!$A$1:'F2CeInd'!$C$88,2)&lt;($N$5+1),VLOOKUP(C14,'F2CsInd'!$A$1:'F2CsInd'!$C$20,2),VLOOKUP(C14,'F2CeInd'!$A$1:'F2CeInd'!$C$88,2))</f>
        <v>22</v>
      </c>
      <c r="E14" s="215">
        <v>3</v>
      </c>
      <c r="F14" s="216">
        <f>IF(VLOOKUP(E14,'F2CeInd'!$A$1:'F2CeInd'!$C$88,2)&lt;($N$5+1),VLOOKUP(E14,'F2CsInd'!$A$1:'F2CsInd'!$C$20,2),VLOOKUP(E14,'F2CeInd'!$A$1:'F2CeInd'!$C$88,2))</f>
        <v>28</v>
      </c>
      <c r="G14" s="215">
        <v>4</v>
      </c>
      <c r="H14" s="216">
        <f>IF(VLOOKUP(G14,'F2CeInd'!$A$1:'F2CeInd'!$C$88,2)&lt;($N$5+1),VLOOKUP(G14,'F2CsInd'!$A$1:'F2CsInd'!$C$20,2),VLOOKUP(G14,'F2CeInd'!$A$1:'F2CeInd'!$C$88,2))</f>
        <v>35</v>
      </c>
      <c r="I14" s="215"/>
      <c r="J14" s="216"/>
      <c r="K14" s="217">
        <f aca="true" t="shared" si="4" ref="K14:K25">IF(N14=4,SUM(D14,F14,H14,J14)-MAX(D14,F14,H14,J14),SUM(D14,F14,H14,J14))</f>
        <v>85</v>
      </c>
      <c r="L14" s="40"/>
      <c r="M14" s="180">
        <f aca="true" t="shared" si="5" ref="M14:M25">IF(N14=4,3,N14)</f>
        <v>3</v>
      </c>
      <c r="N14">
        <f aca="true" t="shared" si="6" ref="N14:N25">COUNTA(C14,E14,G14,I14)</f>
        <v>3</v>
      </c>
    </row>
    <row r="15" spans="1:14" ht="11.25">
      <c r="A15" s="218">
        <f t="shared" si="0"/>
        <v>9</v>
      </c>
      <c r="B15" s="214" t="s">
        <v>125</v>
      </c>
      <c r="C15" s="215">
        <v>49</v>
      </c>
      <c r="D15" s="216">
        <f>IF(VLOOKUP(C15,'F2CeInd'!$A$1:'F2CeInd'!$C$88,2)&lt;($N$5+1),VLOOKUP(C15,'F2CsInd'!$A$1:'F2CsInd'!$C$20,2),VLOOKUP(C15,'F2CeInd'!$A$1:'F2CeInd'!$C$88,2))</f>
        <v>11</v>
      </c>
      <c r="E15" s="215">
        <v>50</v>
      </c>
      <c r="F15" s="216">
        <f>IF(VLOOKUP(E15,'F2CeInd'!$A$1:'F2CeInd'!$C$88,2)&lt;($N$5+1),VLOOKUP(E15,'F2CsInd'!$A$1:'F2CsInd'!$C$20,2),VLOOKUP(E15,'F2CeInd'!$A$1:'F2CeInd'!$C$88,2))</f>
        <v>49</v>
      </c>
      <c r="G15" s="215">
        <v>51</v>
      </c>
      <c r="H15" s="216">
        <f>IF(VLOOKUP(G15,'F2CeInd'!$A$1:'F2CeInd'!$C$88,2)&lt;($N$5+1),VLOOKUP(G15,'F2CsInd'!$A$1:'F2CsInd'!$C$20,2),VLOOKUP(G15,'F2CeInd'!$A$1:'F2CeInd'!$C$88,2))</f>
        <v>43</v>
      </c>
      <c r="I15" s="215"/>
      <c r="J15" s="216"/>
      <c r="K15" s="217">
        <f t="shared" si="4"/>
        <v>103</v>
      </c>
      <c r="L15" s="40"/>
      <c r="M15" s="180">
        <f t="shared" si="5"/>
        <v>3</v>
      </c>
      <c r="N15">
        <f t="shared" si="6"/>
        <v>3</v>
      </c>
    </row>
    <row r="16" spans="1:14" ht="11.25">
      <c r="A16" s="218">
        <f t="shared" si="0"/>
        <v>10</v>
      </c>
      <c r="B16" s="214" t="s">
        <v>126</v>
      </c>
      <c r="C16" s="215">
        <v>37</v>
      </c>
      <c r="D16" s="216">
        <f>IF(VLOOKUP(C16,'F2CeInd'!$A$1:'F2CeInd'!$C$88,2)&lt;($N$5+1),VLOOKUP(C16,'F2CsInd'!$A$1:'F2CsInd'!$C$20,2),VLOOKUP(C16,'F2CeInd'!$A$1:'F2CeInd'!$C$88,2))</f>
        <v>41</v>
      </c>
      <c r="E16" s="215">
        <v>38</v>
      </c>
      <c r="F16" s="216">
        <f>IF(VLOOKUP(E16,'F2CeInd'!$A$1:'F2CeInd'!$C$88,2)&lt;($N$5+1),VLOOKUP(E16,'F2CsInd'!$A$1:'F2CsInd'!$C$20,2),VLOOKUP(E16,'F2CeInd'!$A$1:'F2CeInd'!$C$88,2))</f>
        <v>45</v>
      </c>
      <c r="G16" s="215">
        <v>39</v>
      </c>
      <c r="H16" s="216">
        <f>IF(VLOOKUP(G16,'F2CeInd'!$A$1:'F2CeInd'!$C$88,2)&lt;($N$5+1),VLOOKUP(G16,'F2CsInd'!$A$1:'F2CsInd'!$C$20,2),VLOOKUP(G16,'F2CeInd'!$A$1:'F2CeInd'!$C$88,2))</f>
        <v>46</v>
      </c>
      <c r="I16" s="215">
        <v>36</v>
      </c>
      <c r="J16" s="216">
        <f>IF(VLOOKUP(I16,'F2CeInd'!$A$1:'F2CeInd'!$C$88,2)&lt;($N$5+1),VLOOKUP(I16,'F2CsInd'!$A$1:'F2CsInd'!$C$20,2),VLOOKUP(I16,'F2CeInd'!$A$1:'F2CeInd'!$C$88,2))</f>
        <v>47</v>
      </c>
      <c r="K16" s="217">
        <f t="shared" si="4"/>
        <v>132</v>
      </c>
      <c r="L16" s="40"/>
      <c r="M16" s="180">
        <f t="shared" si="5"/>
        <v>3</v>
      </c>
      <c r="N16">
        <f t="shared" si="6"/>
        <v>4</v>
      </c>
    </row>
    <row r="17" spans="1:14" ht="11.25">
      <c r="A17" s="260">
        <f t="shared" si="0"/>
        <v>11</v>
      </c>
      <c r="B17" s="214" t="s">
        <v>127</v>
      </c>
      <c r="C17" s="215">
        <v>5</v>
      </c>
      <c r="D17" s="216">
        <f>IF(VLOOKUP(C17,'F2CeInd'!$A$1:'F2CeInd'!$C$88,2)&lt;($N$5+1),VLOOKUP(C17,'F2CsInd'!$A$1:'F2CsInd'!$C$20,2),VLOOKUP(C17,'F2CeInd'!$A$1:'F2CeInd'!$C$88,2))</f>
        <v>5</v>
      </c>
      <c r="E17" s="215">
        <v>6</v>
      </c>
      <c r="F17" s="216">
        <f>IF(VLOOKUP(E17,'F2CeInd'!$A$1:'F2CeInd'!$C$88,2)&lt;($N$5+1),VLOOKUP(E17,'F2CsInd'!$A$1:'F2CsInd'!$C$20,2),VLOOKUP(E17,'F2CeInd'!$A$1:'F2CeInd'!$C$88,2))</f>
        <v>36</v>
      </c>
      <c r="G17" s="215"/>
      <c r="H17" s="216"/>
      <c r="I17" s="215"/>
      <c r="J17" s="216"/>
      <c r="K17" s="217">
        <f t="shared" si="4"/>
        <v>41</v>
      </c>
      <c r="L17" s="40"/>
      <c r="M17" s="180">
        <f t="shared" si="5"/>
        <v>2</v>
      </c>
      <c r="N17">
        <f t="shared" si="6"/>
        <v>2</v>
      </c>
    </row>
    <row r="18" spans="1:14" ht="11.25">
      <c r="A18" s="218">
        <f t="shared" si="0"/>
        <v>12</v>
      </c>
      <c r="B18" s="214" t="s">
        <v>128</v>
      </c>
      <c r="C18" s="215">
        <v>30</v>
      </c>
      <c r="D18" s="216">
        <f>IF(VLOOKUP(C18,'F2CeInd'!$A$1:'F2CeInd'!$C$88,2)&lt;($N$5+1),VLOOKUP(C18,'F2CsInd'!$A$1:'F2CsInd'!$C$20,2),VLOOKUP(C18,'F2CeInd'!$A$1:'F2CeInd'!$C$88,2))</f>
        <v>40</v>
      </c>
      <c r="E18" s="215">
        <v>31</v>
      </c>
      <c r="F18" s="216">
        <f>IF(VLOOKUP(E18,'F2CeInd'!$A$1:'F2CeInd'!$C$88,2)&lt;($N$5+1),VLOOKUP(E18,'F2CsInd'!$A$1:'F2CsInd'!$C$20,2),VLOOKUP(E18,'F2CeInd'!$A$1:'F2CeInd'!$C$88,2))</f>
        <v>7</v>
      </c>
      <c r="G18" s="215"/>
      <c r="H18" s="216"/>
      <c r="I18" s="215"/>
      <c r="J18" s="216"/>
      <c r="K18" s="217">
        <f t="shared" si="4"/>
        <v>47</v>
      </c>
      <c r="L18" s="40"/>
      <c r="M18" s="180">
        <f t="shared" si="5"/>
        <v>2</v>
      </c>
      <c r="N18">
        <f t="shared" si="6"/>
        <v>2</v>
      </c>
    </row>
    <row r="19" spans="1:14" ht="11.25">
      <c r="A19" s="218">
        <f t="shared" si="0"/>
        <v>13</v>
      </c>
      <c r="B19" s="214" t="s">
        <v>129</v>
      </c>
      <c r="C19" s="215">
        <v>40</v>
      </c>
      <c r="D19" s="216">
        <f>IF(VLOOKUP(C19,'F2CeInd'!$A$1:'F2CeInd'!$C$88,2)&lt;($N$5+1),VLOOKUP(C19,'F2CsInd'!$A$1:'F2CsInd'!$C$20,2),VLOOKUP(C19,'F2CeInd'!$A$1:'F2CeInd'!$C$88,2))</f>
        <v>34</v>
      </c>
      <c r="E19" s="215">
        <v>41</v>
      </c>
      <c r="F19" s="216">
        <f>IF(VLOOKUP(E19,'F2CeInd'!$A$1:'F2CeInd'!$C$88,2)&lt;($N$5+1),VLOOKUP(E19,'F2CsInd'!$A$1:'F2CsInd'!$C$20,2),VLOOKUP(E19,'F2CeInd'!$A$1:'F2CeInd'!$C$88,2))</f>
        <v>24</v>
      </c>
      <c r="G19" s="215"/>
      <c r="H19" s="216"/>
      <c r="I19" s="215"/>
      <c r="J19" s="216"/>
      <c r="K19" s="217">
        <f t="shared" si="4"/>
        <v>58</v>
      </c>
      <c r="L19" s="40"/>
      <c r="M19" s="180">
        <f t="shared" si="5"/>
        <v>2</v>
      </c>
      <c r="N19">
        <f t="shared" si="6"/>
        <v>2</v>
      </c>
    </row>
    <row r="20" spans="1:14" ht="11.25">
      <c r="A20" s="218">
        <f t="shared" si="0"/>
        <v>14</v>
      </c>
      <c r="B20" s="214" t="s">
        <v>130</v>
      </c>
      <c r="C20" s="215">
        <v>22</v>
      </c>
      <c r="D20" s="216">
        <f>IF(VLOOKUP(C20,'F2CeInd'!$A$1:'F2CeInd'!$C$88,2)&lt;($N$5+1),VLOOKUP(C20,'F2CsInd'!$A$1:'F2CsInd'!$C$20,2),VLOOKUP(C20,'F2CeInd'!$A$1:'F2CeInd'!$C$88,2))</f>
        <v>37</v>
      </c>
      <c r="E20" s="215">
        <v>23</v>
      </c>
      <c r="F20" s="216">
        <f>IF(VLOOKUP(E20,'F2CeInd'!$A$1:'F2CeInd'!$C$88,2)&lt;($N$5+1),VLOOKUP(E20,'F2CsInd'!$A$1:'F2CsInd'!$C$20,2),VLOOKUP(E20,'F2CeInd'!$A$1:'F2CeInd'!$C$88,2))</f>
        <v>26</v>
      </c>
      <c r="G20" s="215"/>
      <c r="H20" s="216"/>
      <c r="I20" s="215"/>
      <c r="J20" s="216"/>
      <c r="K20" s="217">
        <f t="shared" si="4"/>
        <v>63</v>
      </c>
      <c r="L20" s="40"/>
      <c r="M20" s="180">
        <f t="shared" si="5"/>
        <v>2</v>
      </c>
      <c r="N20">
        <f t="shared" si="6"/>
        <v>2</v>
      </c>
    </row>
    <row r="21" spans="1:14" ht="11.25">
      <c r="A21" s="218">
        <f t="shared" si="0"/>
        <v>15</v>
      </c>
      <c r="B21" s="214" t="s">
        <v>131</v>
      </c>
      <c r="C21" s="215">
        <v>17</v>
      </c>
      <c r="D21" s="216">
        <f>IF(VLOOKUP(C21,'F2CeInd'!$A$1:'F2CeInd'!$C$88,2)&lt;($N$5+1),VLOOKUP(C21,'F2CsInd'!$A$1:'F2CsInd'!$C$20,2),VLOOKUP(C21,'F2CeInd'!$A$1:'F2CeInd'!$C$88,2))</f>
        <v>33</v>
      </c>
      <c r="E21" s="215">
        <v>18</v>
      </c>
      <c r="F21" s="216">
        <f>IF(VLOOKUP(E21,'F2CeInd'!$A$1:'F2CeInd'!$C$88,2)&lt;($N$5+1),VLOOKUP(E21,'F2CsInd'!$A$1:'F2CsInd'!$C$20,2),VLOOKUP(E21,'F2CeInd'!$A$1:'F2CeInd'!$C$88,2))</f>
        <v>31</v>
      </c>
      <c r="G21" s="215"/>
      <c r="H21" s="216"/>
      <c r="I21" s="215"/>
      <c r="J21" s="216"/>
      <c r="K21" s="217">
        <f t="shared" si="4"/>
        <v>64</v>
      </c>
      <c r="L21" s="40"/>
      <c r="M21" s="180">
        <f t="shared" si="5"/>
        <v>2</v>
      </c>
      <c r="N21">
        <f t="shared" si="6"/>
        <v>2</v>
      </c>
    </row>
    <row r="22" spans="1:14" ht="11.25">
      <c r="A22" s="260">
        <f t="shared" si="0"/>
        <v>16</v>
      </c>
      <c r="B22" s="214" t="s">
        <v>132</v>
      </c>
      <c r="C22" s="215">
        <v>8</v>
      </c>
      <c r="D22" s="216">
        <f>IF(VLOOKUP(C22,'F2CeInd'!$A$1:'F2CeInd'!$C$88,2)&lt;($N$5+1),VLOOKUP(C22,'F2CsInd'!$A$1:'F2CsInd'!$C$20,2),VLOOKUP(C22,'F2CeInd'!$A$1:'F2CeInd'!$C$88,2))</f>
        <v>39</v>
      </c>
      <c r="E22" s="215">
        <v>9</v>
      </c>
      <c r="F22" s="216">
        <f>IF(VLOOKUP(E22,'F2CeInd'!$A$1:'F2CeInd'!$C$88,2)&lt;($N$5+1),VLOOKUP(E22,'F2CsInd'!$A$1:'F2CsInd'!$C$20,2),VLOOKUP(E22,'F2CeInd'!$A$1:'F2CeInd'!$C$88,2))</f>
        <v>44</v>
      </c>
      <c r="G22" s="215"/>
      <c r="H22" s="216"/>
      <c r="I22" s="215"/>
      <c r="J22" s="216"/>
      <c r="K22" s="217">
        <f t="shared" si="4"/>
        <v>83</v>
      </c>
      <c r="L22" s="40"/>
      <c r="M22" s="180">
        <f t="shared" si="5"/>
        <v>2</v>
      </c>
      <c r="N22">
        <f t="shared" si="6"/>
        <v>2</v>
      </c>
    </row>
    <row r="23" spans="1:14" ht="11.25">
      <c r="A23" s="218">
        <f t="shared" si="0"/>
        <v>17</v>
      </c>
      <c r="B23" s="214" t="s">
        <v>133</v>
      </c>
      <c r="C23" s="215">
        <v>7</v>
      </c>
      <c r="D23" s="216">
        <f>IF(VLOOKUP(C23,'F2CeInd'!$A$1:'F2CeInd'!$C$88,2)&lt;($N$5+1),VLOOKUP(C23,'F2CsInd'!$A$1:'F2CsInd'!$C$20,2),VLOOKUP(C23,'F2CeInd'!$A$1:'F2CeInd'!$C$88,2))</f>
        <v>18</v>
      </c>
      <c r="E23" s="215"/>
      <c r="F23" s="216"/>
      <c r="G23" s="215"/>
      <c r="H23" s="216"/>
      <c r="I23" s="215"/>
      <c r="J23" s="216"/>
      <c r="K23" s="217">
        <f t="shared" si="4"/>
        <v>18</v>
      </c>
      <c r="L23" s="40"/>
      <c r="M23" s="180">
        <f t="shared" si="5"/>
        <v>1</v>
      </c>
      <c r="N23">
        <f t="shared" si="6"/>
        <v>1</v>
      </c>
    </row>
    <row r="24" spans="1:14" ht="11.25">
      <c r="A24" s="218">
        <f t="shared" si="0"/>
        <v>18</v>
      </c>
      <c r="B24" s="214" t="s">
        <v>134</v>
      </c>
      <c r="C24" s="215">
        <v>28</v>
      </c>
      <c r="D24" s="216">
        <f>IF(VLOOKUP(C24,'F2CeInd'!$A$1:'F2CeInd'!$C$88,2)&lt;($N$5+1),VLOOKUP(C24,'F2CsInd'!$A$1:'F2CsInd'!$C$20,2),VLOOKUP(C24,'F2CeInd'!$A$1:'F2CeInd'!$C$88,2))</f>
        <v>19</v>
      </c>
      <c r="E24" s="215"/>
      <c r="F24" s="216"/>
      <c r="G24" s="215"/>
      <c r="H24" s="216"/>
      <c r="I24" s="215"/>
      <c r="J24" s="216"/>
      <c r="K24" s="217">
        <f t="shared" si="4"/>
        <v>19</v>
      </c>
      <c r="L24" s="40"/>
      <c r="M24" s="180">
        <f t="shared" si="5"/>
        <v>1</v>
      </c>
      <c r="N24">
        <f t="shared" si="6"/>
        <v>1</v>
      </c>
    </row>
    <row r="25" spans="1:14" ht="11.25">
      <c r="A25" s="218">
        <f t="shared" si="0"/>
        <v>19</v>
      </c>
      <c r="B25" s="214" t="s">
        <v>135</v>
      </c>
      <c r="C25" s="215"/>
      <c r="D25" s="216"/>
      <c r="E25" s="215"/>
      <c r="F25" s="216"/>
      <c r="G25" s="215"/>
      <c r="H25" s="216"/>
      <c r="I25" s="215">
        <v>29</v>
      </c>
      <c r="J25" s="216">
        <f>IF(VLOOKUP(I25,'F2CeInd'!$A$1:'F2CeInd'!$C$88,2)&lt;($N$5+1),VLOOKUP(I25,'F2CsInd'!$A$1:'F2CsInd'!$C$20,2),VLOOKUP(I25,'F2CeInd'!$A$1:'F2CeInd'!$C$88,2))</f>
        <v>48</v>
      </c>
      <c r="K25" s="217">
        <f t="shared" si="4"/>
        <v>48</v>
      </c>
      <c r="L25" s="40"/>
      <c r="M25" s="180">
        <f t="shared" si="5"/>
        <v>1</v>
      </c>
      <c r="N25">
        <f t="shared" si="6"/>
        <v>1</v>
      </c>
    </row>
    <row r="26" spans="1:11" ht="11.25">
      <c r="A26" s="4"/>
      <c r="B26" s="4"/>
      <c r="C26" s="219"/>
      <c r="D26" s="220"/>
      <c r="E26" s="219"/>
      <c r="F26" s="220"/>
      <c r="G26" s="219"/>
      <c r="H26" s="220"/>
      <c r="I26" s="219"/>
      <c r="J26" s="220"/>
      <c r="K26" s="221"/>
    </row>
  </sheetData>
  <printOptions/>
  <pageMargins left="1.3779527559055118" right="0.5905511811023623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workbookViewId="0" topLeftCell="A1">
      <selection activeCell="C60" sqref="C60"/>
    </sheetView>
  </sheetViews>
  <sheetFormatPr defaultColWidth="9.140625" defaultRowHeight="12.75"/>
  <cols>
    <col min="1" max="1" width="8.8515625" style="2" customWidth="1"/>
    <col min="2" max="2" width="5.7109375" style="41" customWidth="1"/>
    <col min="3" max="3" width="34.00390625" style="42" customWidth="1"/>
    <col min="4" max="4" width="7.57421875" style="43" customWidth="1"/>
    <col min="5" max="5" width="6.28125" style="68" customWidth="1"/>
    <col min="6" max="16384" width="11.421875" style="0" customWidth="1"/>
  </cols>
  <sheetData>
    <row r="1" spans="2:7" ht="3" customHeight="1">
      <c r="B1"/>
      <c r="C1" s="28"/>
      <c r="D1" s="33"/>
      <c r="E1" s="34"/>
      <c r="F1" s="35"/>
      <c r="G1" s="36"/>
    </row>
    <row r="2" spans="2:5" ht="13.5">
      <c r="B2" s="28"/>
      <c r="C2" s="37" t="s">
        <v>82</v>
      </c>
      <c r="D2" s="38"/>
      <c r="E2" s="2"/>
    </row>
    <row r="3" spans="2:5" ht="13.5">
      <c r="B3" s="28"/>
      <c r="C3" s="3"/>
      <c r="D3" s="38"/>
      <c r="E3" s="2"/>
    </row>
    <row r="4" spans="1:5" ht="13.5">
      <c r="A4"/>
      <c r="B4"/>
      <c r="C4" s="325" t="str">
        <f>1Round!D4</f>
        <v>Saturday 15th of July</v>
      </c>
      <c r="D4" s="223"/>
      <c r="E4" s="3"/>
    </row>
    <row r="5" spans="3:5" ht="12.75">
      <c r="C5" s="326" t="s">
        <v>146</v>
      </c>
      <c r="E5" s="44"/>
    </row>
    <row r="6" spans="3:5" ht="12.75">
      <c r="C6" s="80"/>
      <c r="E6" s="44"/>
    </row>
    <row r="7" spans="2:5" ht="13.5">
      <c r="B7" s="46"/>
      <c r="C7" s="47" t="s">
        <v>147</v>
      </c>
      <c r="D7" s="224"/>
      <c r="E7"/>
    </row>
    <row r="8" spans="1:5" ht="13.5">
      <c r="A8" s="49"/>
      <c r="B8" s="46"/>
      <c r="C8" s="50"/>
      <c r="D8" s="38"/>
      <c r="E8" s="48"/>
    </row>
    <row r="9" spans="1:5" ht="12.75">
      <c r="A9" s="81">
        <v>0.4166666666666667</v>
      </c>
      <c r="B9" s="53">
        <f>1Round!$C9</f>
        <v>26</v>
      </c>
      <c r="C9" s="71" t="str">
        <f>VLOOKUP($B9,DosF2C!$B$7:$E$100,2)</f>
        <v>MARTINI G. / MENOZZI M.</v>
      </c>
      <c r="D9" s="54">
        <f>VLOOKUP($B9,DosF2C!$B$7:$E$100,3)</f>
        <v>0</v>
      </c>
      <c r="E9" s="55" t="str">
        <f>VLOOKUP($B9,DosF2C!$B$7:$E$100,4)</f>
        <v>ITA</v>
      </c>
    </row>
    <row r="10" spans="1:5" ht="12.75">
      <c r="A10" s="64"/>
      <c r="B10" s="82">
        <f>1Round!$C10</f>
        <v>30</v>
      </c>
      <c r="C10" s="61" t="str">
        <f>VLOOKUP($B10,DosF2C!$B$7:$E$100,2)</f>
        <v>CONTENTE A. / SECO F.</v>
      </c>
      <c r="D10" s="62">
        <f>VLOOKUP($B10,DosF2C!$B$7:$E$100,3)</f>
        <v>0</v>
      </c>
      <c r="E10" s="10" t="str">
        <f>VLOOKUP($B10,DosF2C!$B$7:$E$100,4)</f>
        <v>POR</v>
      </c>
    </row>
    <row r="11" spans="1:5" ht="12.75">
      <c r="A11" s="81">
        <f>A9+$A$61</f>
        <v>0.4215277777777778</v>
      </c>
      <c r="B11" s="53">
        <f>1Round!$C11</f>
        <v>6</v>
      </c>
      <c r="C11" s="71" t="str">
        <f>VLOOKUP($B11,DosF2C!$B$7:$E$100,2)</f>
        <v>NITSCHE H. / NITSCHE H.</v>
      </c>
      <c r="D11" s="54">
        <f>VLOOKUP($B11,DosF2C!$B$7:$E$100,3)</f>
        <v>0</v>
      </c>
      <c r="E11" s="55" t="str">
        <f>VLOOKUP($B11,DosF2C!$B$7:$E$100,4)</f>
        <v>AUT</v>
      </c>
    </row>
    <row r="12" spans="1:5" ht="12.75">
      <c r="A12" s="64"/>
      <c r="B12" s="82">
        <f>1Round!$C12</f>
        <v>33</v>
      </c>
      <c r="C12" s="61" t="str">
        <f>VLOOKUP($B12,DosF2C!$B$7:$E$100,2)</f>
        <v>SURKOV O. / BALEZINE V.</v>
      </c>
      <c r="D12" s="62">
        <f>VLOOKUP($B12,DosF2C!$B$7:$E$100,3)</f>
        <v>0</v>
      </c>
      <c r="E12" s="10" t="str">
        <f>VLOOKUP($B12,DosF2C!$B$7:$E$100,4)</f>
        <v>RUS</v>
      </c>
    </row>
    <row r="13" spans="1:5" ht="12.75">
      <c r="A13" s="81">
        <f>A11+$A$61</f>
        <v>0.4263888888888889</v>
      </c>
      <c r="B13" s="53">
        <f>1Round!$C13</f>
        <v>47</v>
      </c>
      <c r="C13" s="71" t="str">
        <f>VLOOKUP($B13,DosF2C!$B$7:$E$100,2)</f>
        <v>ZHURAVLYOV V. / SOSNOVSKIY V.</v>
      </c>
      <c r="D13" s="54">
        <f>VLOOKUP($B13,DosF2C!$B$7:$E$100,3)</f>
        <v>0</v>
      </c>
      <c r="E13" s="55" t="str">
        <f>VLOOKUP($B13,DosF2C!$B$7:$E$100,4)</f>
        <v>UKR</v>
      </c>
    </row>
    <row r="14" spans="1:5" ht="12.75">
      <c r="A14" s="64"/>
      <c r="B14" s="82">
        <f>1Round!$C14</f>
        <v>38</v>
      </c>
      <c r="C14" s="61" t="str">
        <f>VLOOKUP($B14,DosF2C!$B$7:$E$100,2)</f>
        <v>SATHA S. / WEE C.</v>
      </c>
      <c r="D14" s="62">
        <f>VLOOKUP($B14,DosF2C!$B$7:$E$100,3)</f>
        <v>0</v>
      </c>
      <c r="E14" s="10" t="str">
        <f>VLOOKUP($B14,DosF2C!$B$7:$E$100,4)</f>
        <v>SIN</v>
      </c>
    </row>
    <row r="15" spans="1:5" ht="12.75">
      <c r="A15" s="81">
        <f>A13+$A$61</f>
        <v>0.43124999999999997</v>
      </c>
      <c r="B15" s="53">
        <f>1Round!$C15</f>
        <v>43</v>
      </c>
      <c r="C15" s="71" t="str">
        <f>VLOOKUP($B15,DosF2C!$B$7:$E$100,2)</f>
        <v>MUELLER R. / SACCAVINO V.</v>
      </c>
      <c r="D15" s="54">
        <f>VLOOKUP($B15,DosF2C!$B$7:$E$100,3)</f>
        <v>0</v>
      </c>
      <c r="E15" s="55" t="str">
        <f>VLOOKUP($B15,DosF2C!$B$7:$E$100,4)</f>
        <v>SUI</v>
      </c>
    </row>
    <row r="16" spans="1:5" ht="12.75">
      <c r="A16" s="64"/>
      <c r="B16" s="82">
        <f>1Round!$C16</f>
        <v>7</v>
      </c>
      <c r="C16" s="61" t="str">
        <f>VLOOKUP($B16,DosF2C!$B$7:$E$100,2)</f>
        <v>DESSAUCY L. / DESSAUCY J. </v>
      </c>
      <c r="D16" s="62">
        <f>VLOOKUP($B16,DosF2C!$B$7:$E$100,3)</f>
        <v>0</v>
      </c>
      <c r="E16" s="10" t="str">
        <f>VLOOKUP($B16,DosF2C!$B$7:$E$100,4)</f>
        <v>BEL</v>
      </c>
    </row>
    <row r="17" spans="1:5" ht="12.75">
      <c r="A17" s="81">
        <f>A15+$A$61</f>
        <v>0.43611111111111106</v>
      </c>
      <c r="B17" s="53">
        <f>1Round!$C17</f>
        <v>35</v>
      </c>
      <c r="C17" s="71" t="str">
        <f>VLOOKUP($B17,DosF2C!$B$7:$E$100,2)</f>
        <v>USTINOV D. / ORESHKINE A.</v>
      </c>
      <c r="D17" s="54" t="str">
        <f>VLOOKUP($B17,DosF2C!$B$7:$E$100,3)</f>
        <v>Jun</v>
      </c>
      <c r="E17" s="55" t="str">
        <f>VLOOKUP($B17,DosF2C!$B$7:$E$100,4)</f>
        <v>RUS</v>
      </c>
    </row>
    <row r="18" spans="1:5" ht="12.75">
      <c r="A18" s="64"/>
      <c r="B18" s="82">
        <f>1Round!$C18</f>
        <v>14</v>
      </c>
      <c r="C18" s="61" t="str">
        <f>VLOOKUP($B18,DosF2C!$B$7:$E$100,2)</f>
        <v>DELOR B. / CONSTANT P.</v>
      </c>
      <c r="D18" s="62">
        <f>VLOOKUP($B18,DosF2C!$B$7:$E$100,3)</f>
        <v>0</v>
      </c>
      <c r="E18" s="10" t="str">
        <f>VLOOKUP($B18,DosF2C!$B$7:$E$100,4)</f>
        <v>FRA</v>
      </c>
    </row>
    <row r="19" spans="1:5" ht="12.75">
      <c r="A19" s="81">
        <f>A17+$A$61</f>
        <v>0.44097222222222215</v>
      </c>
      <c r="B19" s="53">
        <f>1Round!$C19</f>
        <v>18</v>
      </c>
      <c r="C19" s="71" t="str">
        <f>VLOOKUP($B19,DosF2C!$B$7:$E$100,2)</f>
        <v>MARSCHALL H./ KUCKELKORN F.</v>
      </c>
      <c r="D19" s="54">
        <f>VLOOKUP($B19,DosF2C!$B$7:$E$100,3)</f>
        <v>0</v>
      </c>
      <c r="E19" s="55" t="str">
        <f>VLOOKUP($B19,DosF2C!$B$7:$E$100,4)</f>
        <v>GER</v>
      </c>
    </row>
    <row r="20" spans="1:5" ht="12.75">
      <c r="A20" s="64"/>
      <c r="B20" s="82">
        <f>1Round!$C20</f>
        <v>20</v>
      </c>
      <c r="C20" s="61" t="str">
        <f>VLOOKUP($B20,DosF2C!$B$7:$E$100,2)</f>
        <v>LANGWORTH B. / CAMPBELL D.</v>
      </c>
      <c r="D20" s="62">
        <f>VLOOKUP($B20,DosF2C!$B$7:$E$100,3)</f>
        <v>0</v>
      </c>
      <c r="E20" s="10" t="str">
        <f>VLOOKUP($B20,DosF2C!$B$7:$E$100,4)</f>
        <v>GBR</v>
      </c>
    </row>
    <row r="21" spans="1:5" ht="12.75">
      <c r="A21" s="81">
        <f>A19+$A$61</f>
        <v>0.44583333333333325</v>
      </c>
      <c r="B21" s="53">
        <f>1Round!$C21</f>
        <v>1</v>
      </c>
      <c r="C21" s="71" t="str">
        <f>VLOOKUP($B21,DosF2C!$B$7:$E$100,2)</f>
        <v>ANDREEV S. / SOBKO S.</v>
      </c>
      <c r="D21" s="54" t="str">
        <f>VLOOKUP($B21,DosF2C!$B$7:$E$100,3)</f>
        <v>W/CH</v>
      </c>
      <c r="E21" s="55" t="str">
        <f>VLOOKUP($B21,DosF2C!$B$7:$E$100,4)</f>
        <v>RUS</v>
      </c>
    </row>
    <row r="22" spans="1:5" ht="12.75">
      <c r="A22" s="64"/>
      <c r="B22" s="82">
        <f>1Round!$C22</f>
        <v>36</v>
      </c>
      <c r="C22" s="61" t="str">
        <f>VLOOKUP($B22,DosF2C!$B$7:$E$100,2)</f>
        <v>ABDHUL RAMAN N. / NAJIMUDEEN H.</v>
      </c>
      <c r="D22" s="62" t="str">
        <f>VLOOKUP($B22,DosF2C!$B$7:$E$100,3)</f>
        <v>Jun</v>
      </c>
      <c r="E22" s="10" t="str">
        <f>VLOOKUP($B22,DosF2C!$B$7:$E$100,4)</f>
        <v>SIN</v>
      </c>
    </row>
    <row r="23" spans="1:5" ht="12.75">
      <c r="A23" s="81">
        <f>A21+$A$61</f>
        <v>0.45069444444444434</v>
      </c>
      <c r="B23" s="53">
        <f>1Round!$C23</f>
        <v>17</v>
      </c>
      <c r="C23" s="71" t="str">
        <f>VLOOKUP($B23,DosF2C!$B$7:$E$100,2)</f>
        <v>LINDEMANN R. / KIEL U.</v>
      </c>
      <c r="D23" s="54">
        <f>VLOOKUP($B23,DosF2C!$B$7:$E$100,3)</f>
        <v>0</v>
      </c>
      <c r="E23" s="55" t="str">
        <f>VLOOKUP($B23,DosF2C!$B$7:$E$100,4)</f>
        <v>GER</v>
      </c>
    </row>
    <row r="24" spans="1:5" ht="12.75">
      <c r="A24" s="64"/>
      <c r="B24" s="82">
        <f>1Round!$C24</f>
        <v>4</v>
      </c>
      <c r="C24" s="61" t="str">
        <f>VLOOKUP($B24,DosF2C!$B$7:$E$100,2)</f>
        <v>WILSON G. / STEIN P.</v>
      </c>
      <c r="D24" s="62">
        <f>VLOOKUP($B24,DosF2C!$B$7:$E$100,3)</f>
        <v>0</v>
      </c>
      <c r="E24" s="10" t="str">
        <f>VLOOKUP($B24,DosF2C!$B$7:$E$100,4)</f>
        <v>AUS</v>
      </c>
    </row>
    <row r="25" spans="1:5" ht="12.75">
      <c r="A25" s="81">
        <f>A23+$A$61</f>
        <v>0.45555555555555544</v>
      </c>
      <c r="B25" s="53">
        <f>1Round!$C25</f>
        <v>42</v>
      </c>
      <c r="C25" s="71" t="str">
        <f>VLOOKUP($B25,DosF2C!$B$7:$E$100,2)</f>
        <v>BORER H. / SACCAVINO C.</v>
      </c>
      <c r="D25" s="54">
        <f>VLOOKUP($B25,DosF2C!$B$7:$E$100,3)</f>
        <v>0</v>
      </c>
      <c r="E25" s="55" t="str">
        <f>VLOOKUP($B25,DosF2C!$B$7:$E$100,4)</f>
        <v>SUI</v>
      </c>
    </row>
    <row r="26" spans="1:5" ht="12.75">
      <c r="A26" s="64"/>
      <c r="B26" s="82">
        <f>1Round!$C26</f>
        <v>34</v>
      </c>
      <c r="C26" s="61" t="str">
        <f>VLOOKUP($B26,DosF2C!$B$7:$E$100,2)</f>
        <v>TITOV V. / JOUGOV V.</v>
      </c>
      <c r="D26" s="62">
        <f>VLOOKUP($B26,DosF2C!$B$7:$E$100,3)</f>
        <v>0</v>
      </c>
      <c r="E26" s="10" t="str">
        <f>VLOOKUP($B26,DosF2C!$B$7:$E$100,4)</f>
        <v>RUS</v>
      </c>
    </row>
    <row r="27" spans="1:5" ht="12.75">
      <c r="A27" s="81">
        <f>A25+$A$61</f>
        <v>0.46041666666666653</v>
      </c>
      <c r="B27" s="53">
        <f>1Round!$C28</f>
        <v>3</v>
      </c>
      <c r="C27" s="71" t="str">
        <f>VLOOKUP($B27,DosF2C!$B$7:$E$100,2)</f>
        <v>JUSTIC R. / OWEN R.</v>
      </c>
      <c r="D27" s="54">
        <f>VLOOKUP($B27,DosF2C!$B$7:$E$100,3)</f>
        <v>0</v>
      </c>
      <c r="E27" s="55" t="str">
        <f>VLOOKUP($B27,DosF2C!$B$7:$E$100,4)</f>
        <v>AUS</v>
      </c>
    </row>
    <row r="28" spans="1:5" ht="12.75">
      <c r="A28" s="64"/>
      <c r="B28" s="82">
        <f>1Round!$C29</f>
        <v>10</v>
      </c>
      <c r="C28" s="61" t="str">
        <f>VLOOKUP($B28,DosF2C!$B$7:$E$100,2)</f>
        <v>BARRAGAN A. / BARRAGAN J.</v>
      </c>
      <c r="D28" s="62">
        <f>VLOOKUP($B28,DosF2C!$B$7:$E$100,3)</f>
        <v>0</v>
      </c>
      <c r="E28" s="10" t="str">
        <f>VLOOKUP($B28,DosF2C!$B$7:$E$100,4)</f>
        <v>ESP</v>
      </c>
    </row>
    <row r="29" spans="1:5" ht="12.75">
      <c r="A29" s="81">
        <f>A27+$A$61</f>
        <v>0.4652777777777776</v>
      </c>
      <c r="B29" s="53">
        <f>1Round!$C30</f>
        <v>16</v>
      </c>
      <c r="C29" s="71" t="str">
        <f>VLOOKUP($B29,DosF2C!$B$7:$E$100,2)</f>
        <v>BUCCI L. / PERRET C.</v>
      </c>
      <c r="D29" s="54" t="str">
        <f>VLOOKUP($B29,DosF2C!$B$7:$E$100,3)</f>
        <v>Jun</v>
      </c>
      <c r="E29" s="55" t="str">
        <f>VLOOKUP($B29,DosF2C!$B$7:$E$100,4)</f>
        <v>FRA</v>
      </c>
    </row>
    <row r="30" spans="1:5" ht="12.75">
      <c r="A30" s="64"/>
      <c r="B30" s="82">
        <f>1Round!$C31</f>
        <v>25</v>
      </c>
      <c r="C30" s="61" t="str">
        <f>VLOOKUP($B30,DosF2C!$B$7:$E$100,2)</f>
        <v>MAGLI M./  PIRAZZINI E.</v>
      </c>
      <c r="D30" s="62">
        <f>VLOOKUP($B30,DosF2C!$B$7:$E$100,3)</f>
        <v>0</v>
      </c>
      <c r="E30" s="10" t="str">
        <f>VLOOKUP($B30,DosF2C!$B$7:$E$100,4)</f>
        <v>ITA</v>
      </c>
    </row>
    <row r="31" spans="1:5" ht="12.75">
      <c r="A31" s="81">
        <f>A29+$A$61</f>
        <v>0.4701388888888887</v>
      </c>
      <c r="B31" s="53">
        <f>1Round!$C32</f>
        <v>23</v>
      </c>
      <c r="C31" s="71" t="str">
        <f>VLOOKUP($B31,DosF2C!$B$7:$E$100,2)</f>
        <v>MOHAI I. / SZVACSEK F.</v>
      </c>
      <c r="D31" s="54">
        <f>VLOOKUP($B31,DosF2C!$B$7:$E$100,3)</f>
        <v>0</v>
      </c>
      <c r="E31" s="55" t="str">
        <f>VLOOKUP($B31,DosF2C!$B$7:$E$100,4)</f>
        <v>HUN</v>
      </c>
    </row>
    <row r="32" spans="1:5" ht="12.75">
      <c r="A32" s="64"/>
      <c r="B32" s="82">
        <f>1Round!$C33</f>
        <v>37</v>
      </c>
      <c r="C32" s="61" t="str">
        <f>VLOOKUP($B32,DosF2C!$B$7:$E$100,2)</f>
        <v>ONG R. / SU D.</v>
      </c>
      <c r="D32" s="62">
        <f>VLOOKUP($B32,DosF2C!$B$7:$E$100,3)</f>
        <v>0</v>
      </c>
      <c r="E32" s="10" t="str">
        <f>VLOOKUP($B32,DosF2C!$B$7:$E$100,4)</f>
        <v>SIN</v>
      </c>
    </row>
    <row r="33" spans="1:5" ht="12.75">
      <c r="A33" s="81">
        <f>A31+$A$61</f>
        <v>0.4749999999999998</v>
      </c>
      <c r="B33" s="53">
        <f>1Round!$C34</f>
        <v>12</v>
      </c>
      <c r="C33" s="71" t="str">
        <f>VLOOKUP($B33,DosF2C!$B$7:$E$100,2)</f>
        <v>LOPEZ J. / DEL HOYO C. </v>
      </c>
      <c r="D33" s="54">
        <f>VLOOKUP($B33,DosF2C!$B$7:$E$100,3)</f>
        <v>0</v>
      </c>
      <c r="E33" s="55" t="str">
        <f>VLOOKUP($B33,DosF2C!$B$7:$E$100,4)</f>
        <v>ESP</v>
      </c>
    </row>
    <row r="34" spans="1:5" ht="12.75">
      <c r="A34" s="64"/>
      <c r="B34" s="82">
        <f>1Round!$C35</f>
        <v>45</v>
      </c>
      <c r="C34" s="61" t="str">
        <f>VLOOKUP($B34,DosF2C!$B$7:$E$100,2)</f>
        <v>BONDARENKO Y. / LERNER S.</v>
      </c>
      <c r="D34" s="62">
        <f>VLOOKUP($B34,DosF2C!$B$7:$E$100,3)</f>
        <v>0</v>
      </c>
      <c r="E34" s="10" t="str">
        <f>VLOOKUP($B34,DosF2C!$B$7:$E$100,4)</f>
        <v>UKR</v>
      </c>
    </row>
    <row r="35" spans="1:5" ht="12.75">
      <c r="A35" s="81">
        <f>A33+$A$61</f>
        <v>0.4798611111111109</v>
      </c>
      <c r="B35" s="53">
        <f>1Round!$C36</f>
        <v>40</v>
      </c>
      <c r="C35" s="71" t="str">
        <f>VLOOKUP($B35,DosF2C!$B$7:$E$100,2)</f>
        <v>SAMUELSSON B. O. / AXTILIUS K.</v>
      </c>
      <c r="D35" s="54">
        <f>VLOOKUP($B35,DosF2C!$B$7:$E$100,3)</f>
        <v>0</v>
      </c>
      <c r="E35" s="55" t="str">
        <f>VLOOKUP($B35,DosF2C!$B$7:$E$100,4)</f>
        <v>SWE</v>
      </c>
    </row>
    <row r="36" spans="1:5" ht="12.75">
      <c r="A36" s="64"/>
      <c r="B36" s="82">
        <f>1Round!$C37</f>
        <v>22</v>
      </c>
      <c r="C36" s="61" t="str">
        <f>VLOOKUP($B36,DosF2C!$B$7:$E$100,2)</f>
        <v>ORVOS F. / NAGY Z.</v>
      </c>
      <c r="D36" s="62">
        <f>VLOOKUP($B36,DosF2C!$B$7:$E$100,3)</f>
        <v>0</v>
      </c>
      <c r="E36" s="10" t="str">
        <f>VLOOKUP($B36,DosF2C!$B$7:$E$100,4)</f>
        <v>HUN</v>
      </c>
    </row>
    <row r="37" spans="1:5" ht="12.75">
      <c r="A37" s="81">
        <f>A35+$A$61</f>
        <v>0.484722222222222</v>
      </c>
      <c r="B37" s="53">
        <f>1Round!$C38</f>
        <v>5</v>
      </c>
      <c r="C37" s="71" t="str">
        <f>VLOOKUP($B37,DosF2C!$B$7:$E$100,2)</f>
        <v>FISCHER J. / STRANIAK H.</v>
      </c>
      <c r="D37" s="54">
        <f>VLOOKUP($B37,DosF2C!$B$7:$E$100,3)</f>
        <v>0</v>
      </c>
      <c r="E37" s="55" t="str">
        <f>VLOOKUP($B37,DosF2C!$B$7:$E$100,4)</f>
        <v>AUT</v>
      </c>
    </row>
    <row r="38" spans="1:5" ht="12.75">
      <c r="A38" s="64"/>
      <c r="B38" s="82">
        <f>1Round!$C39</f>
        <v>15</v>
      </c>
      <c r="C38" s="61" t="str">
        <f>VLOOKUP($B38,DosF2C!$B$7:$E$100,2)</f>
        <v>SURUGUE P. / SURUGUE G.</v>
      </c>
      <c r="D38" s="62">
        <f>VLOOKUP($B38,DosF2C!$B$7:$E$100,3)</f>
        <v>0</v>
      </c>
      <c r="E38" s="10" t="str">
        <f>VLOOKUP($B38,DosF2C!$B$7:$E$100,4)</f>
        <v>FRA</v>
      </c>
    </row>
    <row r="39" spans="1:5" ht="12.75">
      <c r="A39" s="81">
        <f>A37+$A$61</f>
        <v>0.4895833333333331</v>
      </c>
      <c r="B39" s="53">
        <f>1Round!$C40</f>
        <v>19</v>
      </c>
      <c r="C39" s="71" t="str">
        <f>VLOOKUP($B39,DosF2C!$B$7:$E$100,2)</f>
        <v>ROSS M. / TURNER B.</v>
      </c>
      <c r="D39" s="54">
        <f>VLOOKUP($B39,DosF2C!$B$7:$E$100,3)</f>
        <v>0</v>
      </c>
      <c r="E39" s="55" t="str">
        <f>VLOOKUP($B39,DosF2C!$B$7:$E$100,4)</f>
        <v>GBR</v>
      </c>
    </row>
    <row r="40" spans="1:5" ht="12.75">
      <c r="A40" s="64"/>
      <c r="B40" s="82">
        <f>1Round!$C41</f>
        <v>49</v>
      </c>
      <c r="C40" s="61" t="str">
        <f>VLOOKUP($B40,DosF2C!$B$7:$E$100,2)</f>
        <v>ASCHER A. / ASCHER L.</v>
      </c>
      <c r="D40" s="62">
        <f>VLOOKUP($B40,DosF2C!$B$7:$E$100,3)</f>
        <v>0</v>
      </c>
      <c r="E40" s="10" t="str">
        <f>VLOOKUP($B40,DosF2C!$B$7:$E$100,4)</f>
        <v>USA</v>
      </c>
    </row>
    <row r="41" spans="1:5" ht="12.75">
      <c r="A41" s="81">
        <f>A39+$A$61</f>
        <v>0.4944444444444442</v>
      </c>
      <c r="B41" s="53">
        <f>1Round!$C42</f>
        <v>8</v>
      </c>
      <c r="C41" s="71" t="str">
        <f>VLOOKUP($B41,DosF2C!$B$7:$E$100,2)</f>
        <v>FAIREY R. / FAIREY B. </v>
      </c>
      <c r="D41" s="54">
        <f>VLOOKUP($B41,DosF2C!$B$7:$E$100,3)</f>
        <v>0</v>
      </c>
      <c r="E41" s="55" t="str">
        <f>VLOOKUP($B41,DosF2C!$B$7:$E$100,4)</f>
        <v>CAN</v>
      </c>
    </row>
    <row r="42" spans="1:5" ht="12.75">
      <c r="A42" s="64"/>
      <c r="B42" s="82">
        <f>1Round!$C43</f>
        <v>32</v>
      </c>
      <c r="C42" s="61" t="str">
        <f>VLOOKUP($B42,DosF2C!$B$7:$E$100,2)</f>
        <v>CHABACHOV J. / MOSKALEEV S.</v>
      </c>
      <c r="D42" s="62">
        <f>VLOOKUP($B42,DosF2C!$B$7:$E$100,3)</f>
        <v>0</v>
      </c>
      <c r="E42" s="10" t="str">
        <f>VLOOKUP($B42,DosF2C!$B$7:$E$100,4)</f>
        <v>RUS</v>
      </c>
    </row>
    <row r="43" spans="1:5" ht="12.75">
      <c r="A43" s="81">
        <f>A41+$A$61</f>
        <v>0.4993055555555553</v>
      </c>
      <c r="B43" s="53">
        <f>1Round!$C44</f>
        <v>41</v>
      </c>
      <c r="C43" s="71" t="str">
        <f>VLOOKUP($B43,DosF2C!$B$7:$E$100,2)</f>
        <v>GUSTAFSSON J. / BJÖHOLM S.</v>
      </c>
      <c r="D43" s="54">
        <f>VLOOKUP($B43,DosF2C!$B$7:$E$100,3)</f>
        <v>0</v>
      </c>
      <c r="E43" s="55" t="str">
        <f>VLOOKUP($B43,DosF2C!$B$7:$E$100,4)</f>
        <v>SWE</v>
      </c>
    </row>
    <row r="44" spans="1:5" ht="12.75">
      <c r="A44" s="64"/>
      <c r="B44" s="82">
        <f>1Round!$C45</f>
        <v>50</v>
      </c>
      <c r="C44" s="61" t="str">
        <f>VLOOKUP($B44,DosF2C!$B$7:$E$100,2)</f>
        <v>BALLARD J. / LAMBERT D.</v>
      </c>
      <c r="D44" s="62">
        <f>VLOOKUP($B44,DosF2C!$B$7:$E$100,3)</f>
        <v>0</v>
      </c>
      <c r="E44" s="10" t="str">
        <f>VLOOKUP($B44,DosF2C!$B$7:$E$100,4)</f>
        <v>USA</v>
      </c>
    </row>
    <row r="45" spans="1:5" ht="12.75">
      <c r="A45" s="81">
        <f>A43+$A$61</f>
        <v>0.5041666666666664</v>
      </c>
      <c r="B45" s="53">
        <f>1Round!$C47</f>
        <v>24</v>
      </c>
      <c r="C45" s="71" t="str">
        <f>VLOOKUP($B45,DosF2C!$B$7:$E$100,2)</f>
        <v>PENNISI R. / ROSSI A.</v>
      </c>
      <c r="D45" s="54">
        <f>VLOOKUP($B45,DosF2C!$B$7:$E$100,3)</f>
        <v>0</v>
      </c>
      <c r="E45" s="55" t="str">
        <f>VLOOKUP($B45,DosF2C!$B$7:$E$100,4)</f>
        <v>ITA</v>
      </c>
    </row>
    <row r="46" spans="1:5" ht="12.75">
      <c r="A46" s="64"/>
      <c r="B46" s="82">
        <f>1Round!$C48</f>
        <v>51</v>
      </c>
      <c r="C46" s="61" t="str">
        <f>VLOOKUP($B46,DosF2C!$B$7:$E$100,2)</f>
        <v>WILLOUGHBY S. / OGE B.</v>
      </c>
      <c r="D46" s="62">
        <f>VLOOKUP($B46,DosF2C!$B$7:$E$100,3)</f>
        <v>0</v>
      </c>
      <c r="E46" s="10" t="str">
        <f>VLOOKUP($B46,DosF2C!$B$7:$E$100,4)</f>
        <v>USA</v>
      </c>
    </row>
    <row r="47" spans="1:5" ht="12.75">
      <c r="A47" s="81">
        <f>A45+$A$61</f>
        <v>0.5090277777777775</v>
      </c>
      <c r="B47" s="53">
        <f>1Round!$C49</f>
        <v>28</v>
      </c>
      <c r="C47" s="71" t="str">
        <f>VLOOKUP($B47,DosF2C!$B$7:$E$100,2)</f>
        <v>VENDEL Micha / METKEMEIJER R.</v>
      </c>
      <c r="D47" s="54">
        <f>VLOOKUP($B47,DosF2C!$B$7:$E$100,3)</f>
        <v>0</v>
      </c>
      <c r="E47" s="55" t="str">
        <f>VLOOKUP($B47,DosF2C!$B$7:$E$100,4)</f>
        <v>NED</v>
      </c>
    </row>
    <row r="48" spans="1:5" ht="12.75">
      <c r="A48" s="64"/>
      <c r="B48" s="82">
        <f>1Round!$C50</f>
        <v>39</v>
      </c>
      <c r="C48" s="61" t="str">
        <f>VLOOKUP($B48,DosF2C!$B$7:$E$100,2)</f>
        <v>LOH P. / CHING M. </v>
      </c>
      <c r="D48" s="62">
        <f>VLOOKUP($B48,DosF2C!$B$7:$E$100,3)</f>
        <v>0</v>
      </c>
      <c r="E48" s="10" t="str">
        <f>VLOOKUP($B48,DosF2C!$B$7:$E$100,4)</f>
        <v>SIN</v>
      </c>
    </row>
    <row r="49" spans="1:5" ht="12.75">
      <c r="A49" s="81">
        <f>A47+$A$61</f>
        <v>0.5138888888888886</v>
      </c>
      <c r="B49" s="53">
        <f>1Round!$C51</f>
        <v>31</v>
      </c>
      <c r="C49" s="71" t="str">
        <f>VLOOKUP($B49,DosF2C!$B$7:$E$100,2)</f>
        <v>MORTINHO A. / GOULAO J.</v>
      </c>
      <c r="D49" s="54">
        <f>VLOOKUP($B49,DosF2C!$B$7:$E$100,3)</f>
        <v>0</v>
      </c>
      <c r="E49" s="55" t="str">
        <f>VLOOKUP($B49,DosF2C!$B$7:$E$100,4)</f>
        <v>POR</v>
      </c>
    </row>
    <row r="50" spans="1:5" ht="12.75">
      <c r="A50" s="64"/>
      <c r="B50" s="82">
        <f>1Round!$C52</f>
        <v>2</v>
      </c>
      <c r="C50" s="61" t="str">
        <f>VLOOKUP($B50,DosF2C!$B$7:$E$100,2)</f>
        <v>CAMERON P. / FITZGERALD R.</v>
      </c>
      <c r="D50" s="62">
        <f>VLOOKUP($B50,DosF2C!$B$7:$E$100,3)</f>
        <v>0</v>
      </c>
      <c r="E50" s="10" t="str">
        <f>VLOOKUP($B50,DosF2C!$B$7:$E$100,4)</f>
        <v>AUS</v>
      </c>
    </row>
    <row r="51" spans="1:5" ht="12.75">
      <c r="A51" s="81">
        <f>A49+$A$61</f>
        <v>0.5187499999999997</v>
      </c>
      <c r="B51" s="53">
        <f>1Round!$C53</f>
        <v>21</v>
      </c>
      <c r="C51" s="71" t="str">
        <f>VLOOKUP($B51,DosF2C!$B$7:$E$100,2)</f>
        <v>SMITH S. / BROWN C.</v>
      </c>
      <c r="D51" s="54">
        <f>VLOOKUP($B51,DosF2C!$B$7:$E$100,3)</f>
        <v>0</v>
      </c>
      <c r="E51" s="55" t="str">
        <f>VLOOKUP($B51,DosF2C!$B$7:$E$100,4)</f>
        <v>GBR</v>
      </c>
    </row>
    <row r="52" spans="1:5" ht="12.75">
      <c r="A52" s="64"/>
      <c r="B52" s="82">
        <f>1Round!$C54</f>
        <v>29</v>
      </c>
      <c r="C52" s="61" t="str">
        <f>VLOOKUP($B52,DosF2C!$B$7:$E$100,2)</f>
        <v>ZUCHOWSKI M. / DABROWSKI K.</v>
      </c>
      <c r="D52" s="62" t="str">
        <f>VLOOKUP($B52,DosF2C!$B$7:$E$100,3)</f>
        <v>Jun</v>
      </c>
      <c r="E52" s="10" t="str">
        <f>VLOOKUP($B52,DosF2C!$B$7:$E$100,4)</f>
        <v>POL</v>
      </c>
    </row>
    <row r="53" spans="1:5" ht="12.75">
      <c r="A53" s="81">
        <f>A51+$A$61</f>
        <v>0.5236111111111108</v>
      </c>
      <c r="B53" s="53">
        <f>1Round!$C55</f>
        <v>46</v>
      </c>
      <c r="C53" s="71" t="str">
        <f>VLOOKUP($B53,DosF2C!$B$7:$E$100,2)</f>
        <v>BEZMERTNY Y. / FULITKA V.</v>
      </c>
      <c r="D53" s="54">
        <f>VLOOKUP($B53,DosF2C!$B$7:$E$100,3)</f>
        <v>0</v>
      </c>
      <c r="E53" s="55" t="str">
        <f>VLOOKUP($B53,DosF2C!$B$7:$E$100,4)</f>
        <v>UKR</v>
      </c>
    </row>
    <row r="54" spans="1:5" ht="12.75">
      <c r="A54" s="64"/>
      <c r="B54" s="82">
        <f>1Round!$C56</f>
        <v>44</v>
      </c>
      <c r="C54" s="61" t="str">
        <f>VLOOKUP($B54,DosF2C!$B$7:$E$100,2)</f>
        <v>GIGER P. / STUDER H.</v>
      </c>
      <c r="D54" s="62">
        <f>VLOOKUP($B54,DosF2C!$B$7:$E$100,3)</f>
        <v>0</v>
      </c>
      <c r="E54" s="10" t="str">
        <f>VLOOKUP($B54,DosF2C!$B$7:$E$100,4)</f>
        <v>SUI</v>
      </c>
    </row>
    <row r="55" spans="1:5" ht="12.75">
      <c r="A55" s="81">
        <f>A53+$A$61</f>
        <v>0.5284722222222219</v>
      </c>
      <c r="B55" s="53">
        <f>1Round!$C57</f>
        <v>13</v>
      </c>
      <c r="C55" s="71" t="str">
        <f>VLOOKUP($B55,DosF2C!$B$7:$E$100,2)</f>
        <v>MARET J. / PERRET J.P.</v>
      </c>
      <c r="D55" s="54">
        <f>VLOOKUP($B55,DosF2C!$B$7:$E$100,3)</f>
        <v>0</v>
      </c>
      <c r="E55" s="55" t="str">
        <f>VLOOKUP($B55,DosF2C!$B$7:$E$100,4)</f>
        <v>FRA</v>
      </c>
    </row>
    <row r="56" spans="1:5" ht="12.75">
      <c r="A56" s="64"/>
      <c r="B56" s="82">
        <v>9</v>
      </c>
      <c r="C56" s="61" t="str">
        <f>VLOOKUP($B56,DosF2C!$B$7:$E$100,2)</f>
        <v>JAREBEK J. / PARENT K.</v>
      </c>
      <c r="D56" s="62">
        <f>VLOOKUP($B56,DosF2C!$B$7:$E$100,3)</f>
        <v>0</v>
      </c>
      <c r="E56" s="10" t="str">
        <f>VLOOKUP($B56,DosF2C!$B$7:$E$100,4)</f>
        <v>CAN</v>
      </c>
    </row>
    <row r="57" spans="1:5" ht="12.75">
      <c r="A57" s="81">
        <f>A55+$A$61</f>
        <v>0.533333333333333</v>
      </c>
      <c r="B57" s="53">
        <v>11</v>
      </c>
      <c r="C57" s="71" t="str">
        <f>VLOOKUP($B57,DosF2C!$B$7:$E$100,2)</f>
        <v>CRESPI M. / CRESPI P.</v>
      </c>
      <c r="D57" s="54">
        <f>VLOOKUP($B57,DosF2C!$B$7:$E$100,3)</f>
        <v>0</v>
      </c>
      <c r="E57" s="55" t="str">
        <f>VLOOKUP($B57,DosF2C!$B$7:$E$100,4)</f>
        <v>ESP</v>
      </c>
    </row>
    <row r="58" spans="1:5" ht="12.75">
      <c r="A58" s="64"/>
      <c r="B58" s="83"/>
      <c r="C58" s="84"/>
      <c r="D58" s="85"/>
      <c r="E58" s="78"/>
    </row>
    <row r="61" spans="1:2" ht="12.75">
      <c r="A61" s="69">
        <v>0.004861111111111111</v>
      </c>
      <c r="B61" s="70" t="s">
        <v>141</v>
      </c>
    </row>
  </sheetData>
  <printOptions/>
  <pageMargins left="1.968503937007874" right="0.5905511811023623" top="0.3937007874015748" bottom="0.3937007874015748" header="0.5118110236220472" footer="0.5118110236220472"/>
  <pageSetup fitToHeight="1" fitToWidth="1"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workbookViewId="0" topLeftCell="A1">
      <selection activeCell="E65" sqref="E65"/>
    </sheetView>
  </sheetViews>
  <sheetFormatPr defaultColWidth="9.140625" defaultRowHeight="12.75"/>
  <cols>
    <col min="1" max="1" width="8.8515625" style="2" customWidth="1"/>
    <col min="2" max="2" width="5.7109375" style="41" customWidth="1"/>
    <col min="3" max="3" width="34.00390625" style="42" customWidth="1"/>
    <col min="4" max="4" width="7.57421875" style="43" customWidth="1"/>
    <col min="5" max="5" width="6.28125" style="68" customWidth="1"/>
    <col min="6" max="16384" width="11.421875" style="0" customWidth="1"/>
  </cols>
  <sheetData>
    <row r="1" spans="2:7" ht="3" customHeight="1">
      <c r="B1"/>
      <c r="C1" s="28"/>
      <c r="D1" s="33"/>
      <c r="E1" s="34"/>
      <c r="F1" s="35"/>
      <c r="G1" s="36"/>
    </row>
    <row r="2" spans="2:5" ht="13.5">
      <c r="B2" s="28"/>
      <c r="C2" s="37" t="s">
        <v>82</v>
      </c>
      <c r="D2" s="38"/>
      <c r="E2" s="2"/>
    </row>
    <row r="3" spans="2:5" ht="13.5">
      <c r="B3" s="28"/>
      <c r="C3" s="3"/>
      <c r="D3" s="38"/>
      <c r="E3" s="2"/>
    </row>
    <row r="4" spans="1:5" ht="13.5">
      <c r="A4"/>
      <c r="B4"/>
      <c r="C4" s="325" t="str">
        <f>2Round!D4</f>
        <v>Sunday 16th of July</v>
      </c>
      <c r="D4" s="223"/>
      <c r="E4" s="3"/>
    </row>
    <row r="5" spans="3:5" ht="12.75">
      <c r="C5" s="326" t="s">
        <v>146</v>
      </c>
      <c r="E5" s="44"/>
    </row>
    <row r="6" spans="3:5" ht="12.75">
      <c r="C6" s="80"/>
      <c r="E6" s="44"/>
    </row>
    <row r="7" spans="2:5" ht="13.5">
      <c r="B7" s="46"/>
      <c r="C7" s="47" t="s">
        <v>148</v>
      </c>
      <c r="D7" s="224"/>
      <c r="E7"/>
    </row>
    <row r="8" spans="1:5" ht="13.5">
      <c r="A8" s="49"/>
      <c r="B8" s="46"/>
      <c r="C8" s="50"/>
      <c r="D8" s="38"/>
      <c r="E8" s="48"/>
    </row>
    <row r="9" spans="1:5" ht="12.75">
      <c r="A9" s="81">
        <v>0.4166666666666667</v>
      </c>
      <c r="B9" s="53">
        <f>2Round!C9</f>
        <v>10</v>
      </c>
      <c r="C9" s="71" t="str">
        <f>VLOOKUP($B9,DosF2C!$B$7:$E$100,2)</f>
        <v>BARRAGAN A. / BARRAGAN J.</v>
      </c>
      <c r="D9" s="54">
        <f>VLOOKUP($B9,DosF2C!$B$7:$E$100,3)</f>
        <v>0</v>
      </c>
      <c r="E9" s="55" t="str">
        <f>VLOOKUP($B9,DosF2C!$B$7:$E$100,4)</f>
        <v>ESP</v>
      </c>
    </row>
    <row r="10" spans="1:5" ht="12.75">
      <c r="A10" s="64"/>
      <c r="B10" s="82">
        <f>2Round!C10</f>
        <v>40</v>
      </c>
      <c r="C10" s="61" t="str">
        <f>VLOOKUP($B10,DosF2C!$B$7:$E$100,2)</f>
        <v>SAMUELSSON B. O. / AXTILIUS K.</v>
      </c>
      <c r="D10" s="62">
        <f>VLOOKUP($B10,DosF2C!$B$7:$E$100,3)</f>
        <v>0</v>
      </c>
      <c r="E10" s="10" t="str">
        <f>VLOOKUP($B10,DosF2C!$B$7:$E$100,4)</f>
        <v>SWE</v>
      </c>
    </row>
    <row r="11" spans="1:5" ht="12.75">
      <c r="A11" s="81">
        <f>A9+$A$71</f>
        <v>0.4215277777777778</v>
      </c>
      <c r="B11" s="53">
        <f>2Round!C11</f>
        <v>13</v>
      </c>
      <c r="C11" s="71" t="str">
        <f>VLOOKUP($B11,DosF2C!$B$7:$E$100,2)</f>
        <v>MARET J. / PERRET J.P.</v>
      </c>
      <c r="D11" s="54">
        <f>VLOOKUP($B11,DosF2C!$B$7:$E$100,3)</f>
        <v>0</v>
      </c>
      <c r="E11" s="55" t="str">
        <f>VLOOKUP($B11,DosF2C!$B$7:$E$100,4)</f>
        <v>FRA</v>
      </c>
    </row>
    <row r="12" spans="1:5" ht="12.75">
      <c r="A12" s="64"/>
      <c r="B12" s="82">
        <f>2Round!C12</f>
        <v>50</v>
      </c>
      <c r="C12" s="61" t="str">
        <f>VLOOKUP($B12,DosF2C!$B$7:$E$100,2)</f>
        <v>BALLARD J. / LAMBERT D.</v>
      </c>
      <c r="D12" s="62">
        <f>VLOOKUP($B12,DosF2C!$B$7:$E$100,3)</f>
        <v>0</v>
      </c>
      <c r="E12" s="10" t="str">
        <f>VLOOKUP($B12,DosF2C!$B$7:$E$100,4)</f>
        <v>USA</v>
      </c>
    </row>
    <row r="13" spans="1:5" ht="12.75">
      <c r="A13" s="81">
        <f>A11+$A$71</f>
        <v>0.4263888888888889</v>
      </c>
      <c r="B13" s="53">
        <f>2Round!C13</f>
        <v>46</v>
      </c>
      <c r="C13" s="71" t="str">
        <f>VLOOKUP($B13,DosF2C!$B$7:$E$100,2)</f>
        <v>BEZMERTNY Y. / FULITKA V.</v>
      </c>
      <c r="D13" s="54">
        <f>VLOOKUP($B13,DosF2C!$B$7:$E$100,3)</f>
        <v>0</v>
      </c>
      <c r="E13" s="55" t="str">
        <f>VLOOKUP($B13,DosF2C!$B$7:$E$100,4)</f>
        <v>UKR</v>
      </c>
    </row>
    <row r="14" spans="1:5" ht="12.75">
      <c r="A14" s="64"/>
      <c r="B14" s="82">
        <f>2Round!C14</f>
        <v>32</v>
      </c>
      <c r="C14" s="61" t="str">
        <f>VLOOKUP($B14,DosF2C!$B$7:$E$100,2)</f>
        <v>CHABACHOV J. / MOSKALEEV S.</v>
      </c>
      <c r="D14" s="62">
        <f>VLOOKUP($B14,DosF2C!$B$7:$E$100,3)</f>
        <v>0</v>
      </c>
      <c r="E14" s="10" t="str">
        <f>VLOOKUP($B14,DosF2C!$B$7:$E$100,4)</f>
        <v>RUS</v>
      </c>
    </row>
    <row r="15" spans="1:5" ht="12.75">
      <c r="A15" s="81">
        <f>A13+$A$71</f>
        <v>0.43124999999999997</v>
      </c>
      <c r="B15" s="53">
        <f>2Round!C15</f>
        <v>33</v>
      </c>
      <c r="C15" s="71" t="str">
        <f>VLOOKUP($B15,DosF2C!$B$7:$E$100,2)</f>
        <v>SURKOV O. / BALEZINE V.</v>
      </c>
      <c r="D15" s="54">
        <f>VLOOKUP($B15,DosF2C!$B$7:$E$100,3)</f>
        <v>0</v>
      </c>
      <c r="E15" s="55" t="str">
        <f>VLOOKUP($B15,DosF2C!$B$7:$E$100,4)</f>
        <v>RUS</v>
      </c>
    </row>
    <row r="16" spans="1:5" ht="12.75">
      <c r="A16" s="64"/>
      <c r="B16" s="82">
        <f>2Round!C16</f>
        <v>26</v>
      </c>
      <c r="C16" s="61" t="str">
        <f>VLOOKUP($B16,DosF2C!$B$7:$E$100,2)</f>
        <v>MARTINI G. / MENOZZI M.</v>
      </c>
      <c r="D16" s="62">
        <f>VLOOKUP($B16,DosF2C!$B$7:$E$100,3)</f>
        <v>0</v>
      </c>
      <c r="E16" s="10" t="str">
        <f>VLOOKUP($B16,DosF2C!$B$7:$E$100,4)</f>
        <v>ITA</v>
      </c>
    </row>
    <row r="17" spans="1:5" ht="12.75">
      <c r="A17" s="81">
        <f>A15+$A$71</f>
        <v>0.43611111111111106</v>
      </c>
      <c r="B17" s="53">
        <f>2Round!C17</f>
        <v>14</v>
      </c>
      <c r="C17" s="71" t="str">
        <f>VLOOKUP($B17,DosF2C!$B$7:$E$100,2)</f>
        <v>DELOR B. / CONSTANT P.</v>
      </c>
      <c r="D17" s="54">
        <f>VLOOKUP($B17,DosF2C!$B$7:$E$100,3)</f>
        <v>0</v>
      </c>
      <c r="E17" s="55" t="str">
        <f>VLOOKUP($B17,DosF2C!$B$7:$E$100,4)</f>
        <v>FRA</v>
      </c>
    </row>
    <row r="18" spans="1:5" ht="12.75">
      <c r="A18" s="64"/>
      <c r="B18" s="82">
        <f>2Round!C18</f>
        <v>11</v>
      </c>
      <c r="C18" s="61" t="str">
        <f>VLOOKUP($B18,DosF2C!$B$7:$E$100,2)</f>
        <v>CRESPI M. / CRESPI P.</v>
      </c>
      <c r="D18" s="62">
        <f>VLOOKUP($B18,DosF2C!$B$7:$E$100,3)</f>
        <v>0</v>
      </c>
      <c r="E18" s="10" t="str">
        <f>VLOOKUP($B18,DosF2C!$B$7:$E$100,4)</f>
        <v>ESP</v>
      </c>
    </row>
    <row r="19" spans="1:5" ht="12.75">
      <c r="A19" s="81">
        <f>A17+$A$71</f>
        <v>0.44097222222222215</v>
      </c>
      <c r="B19" s="53">
        <f>2Round!C19</f>
        <v>49</v>
      </c>
      <c r="C19" s="71" t="str">
        <f>VLOOKUP($B19,DosF2C!$B$7:$E$100,2)</f>
        <v>ASCHER A. / ASCHER L.</v>
      </c>
      <c r="D19" s="54">
        <f>VLOOKUP($B19,DosF2C!$B$7:$E$100,3)</f>
        <v>0</v>
      </c>
      <c r="E19" s="55" t="str">
        <f>VLOOKUP($B19,DosF2C!$B$7:$E$100,4)</f>
        <v>USA</v>
      </c>
    </row>
    <row r="20" spans="1:5" ht="12.75">
      <c r="A20" s="64"/>
      <c r="B20" s="82">
        <f>2Round!C20</f>
        <v>15</v>
      </c>
      <c r="C20" s="61" t="str">
        <f>VLOOKUP($B20,DosF2C!$B$7:$E$100,2)</f>
        <v>SURUGUE P. / SURUGUE G.</v>
      </c>
      <c r="D20" s="62">
        <f>VLOOKUP($B20,DosF2C!$B$7:$E$100,3)</f>
        <v>0</v>
      </c>
      <c r="E20" s="10" t="str">
        <f>VLOOKUP($B20,DosF2C!$B$7:$E$100,4)</f>
        <v>FRA</v>
      </c>
    </row>
    <row r="21" spans="1:5" ht="12.75">
      <c r="A21" s="81">
        <f>A19+$A$71</f>
        <v>0.44583333333333325</v>
      </c>
      <c r="B21" s="53">
        <f>2Round!C21</f>
        <v>31</v>
      </c>
      <c r="C21" s="71" t="str">
        <f>VLOOKUP($B21,DosF2C!$B$7:$E$100,2)</f>
        <v>MORTINHO A. / GOULAO J.</v>
      </c>
      <c r="D21" s="54">
        <f>VLOOKUP($B21,DosF2C!$B$7:$E$100,3)</f>
        <v>0</v>
      </c>
      <c r="E21" s="55" t="str">
        <f>VLOOKUP($B21,DosF2C!$B$7:$E$100,4)</f>
        <v>POR</v>
      </c>
    </row>
    <row r="22" spans="1:5" ht="12.75">
      <c r="A22" s="64"/>
      <c r="B22" s="82">
        <f>2Round!C22</f>
        <v>18</v>
      </c>
      <c r="C22" s="61" t="str">
        <f>VLOOKUP($B22,DosF2C!$B$7:$E$100,2)</f>
        <v>MARSCHALL H./ KUCKELKORN F.</v>
      </c>
      <c r="D22" s="62">
        <f>VLOOKUP($B22,DosF2C!$B$7:$E$100,3)</f>
        <v>0</v>
      </c>
      <c r="E22" s="10" t="str">
        <f>VLOOKUP($B22,DosF2C!$B$7:$E$100,4)</f>
        <v>GER</v>
      </c>
    </row>
    <row r="23" spans="1:5" ht="12.75">
      <c r="A23" s="81">
        <f>A21+$A$71</f>
        <v>0.45069444444444434</v>
      </c>
      <c r="B23" s="53">
        <f>2Round!C23</f>
        <v>4</v>
      </c>
      <c r="C23" s="71" t="str">
        <f>VLOOKUP($B23,DosF2C!$B$7:$E$100,2)</f>
        <v>WILSON G. / STEIN P.</v>
      </c>
      <c r="D23" s="54">
        <f>VLOOKUP($B23,DosF2C!$B$7:$E$100,3)</f>
        <v>0</v>
      </c>
      <c r="E23" s="55" t="str">
        <f>VLOOKUP($B23,DosF2C!$B$7:$E$100,4)</f>
        <v>AUS</v>
      </c>
    </row>
    <row r="24" spans="1:5" ht="12.75">
      <c r="A24" s="64"/>
      <c r="B24" s="82">
        <f>2Round!C24</f>
        <v>44</v>
      </c>
      <c r="C24" s="61" t="str">
        <f>VLOOKUP($B24,DosF2C!$B$7:$E$100,2)</f>
        <v>GIGER P. / STUDER H.</v>
      </c>
      <c r="D24" s="62">
        <f>VLOOKUP($B24,DosF2C!$B$7:$E$100,3)</f>
        <v>0</v>
      </c>
      <c r="E24" s="10" t="str">
        <f>VLOOKUP($B24,DosF2C!$B$7:$E$100,4)</f>
        <v>SUI</v>
      </c>
    </row>
    <row r="25" spans="1:5" ht="12.75">
      <c r="A25" s="81">
        <f>A23+$A$71</f>
        <v>0.45555555555555544</v>
      </c>
      <c r="B25" s="53">
        <f>2Round!C25</f>
        <v>6</v>
      </c>
      <c r="C25" s="71" t="str">
        <f>VLOOKUP($B25,DosF2C!$B$7:$E$100,2)</f>
        <v>NITSCHE H. / NITSCHE H.</v>
      </c>
      <c r="D25" s="54">
        <f>VLOOKUP($B25,DosF2C!$B$7:$E$100,3)</f>
        <v>0</v>
      </c>
      <c r="E25" s="55" t="str">
        <f>VLOOKUP($B25,DosF2C!$B$7:$E$100,4)</f>
        <v>AUT</v>
      </c>
    </row>
    <row r="26" spans="1:5" ht="12.75">
      <c r="A26" s="64"/>
      <c r="B26" s="82">
        <f>2Round!C26</f>
        <v>38</v>
      </c>
      <c r="C26" s="61" t="str">
        <f>VLOOKUP($B26,DosF2C!$B$7:$E$100,2)</f>
        <v>SATHA S. / WEE C.</v>
      </c>
      <c r="D26" s="62">
        <f>VLOOKUP($B26,DosF2C!$B$7:$E$100,3)</f>
        <v>0</v>
      </c>
      <c r="E26" s="10" t="str">
        <f>VLOOKUP($B26,DosF2C!$B$7:$E$100,4)</f>
        <v>SIN</v>
      </c>
    </row>
    <row r="27" spans="1:5" ht="12.75">
      <c r="A27" s="81">
        <f>A25+$A$71</f>
        <v>0.46041666666666653</v>
      </c>
      <c r="B27" s="53">
        <f>2Round!C28</f>
        <v>36</v>
      </c>
      <c r="C27" s="71" t="str">
        <f>VLOOKUP($B27,DosF2C!$B$7:$E$100,2)</f>
        <v>ABDHUL RAMAN N. / NAJIMUDEEN H.</v>
      </c>
      <c r="D27" s="54" t="str">
        <f>VLOOKUP($B27,DosF2C!$B$7:$E$100,3)</f>
        <v>Jun</v>
      </c>
      <c r="E27" s="55" t="str">
        <f>VLOOKUP($B27,DosF2C!$B$7:$E$100,4)</f>
        <v>SIN</v>
      </c>
    </row>
    <row r="28" spans="1:5" ht="12.75">
      <c r="A28" s="64"/>
      <c r="B28" s="82">
        <f>2Round!C29</f>
        <v>5</v>
      </c>
      <c r="C28" s="61" t="str">
        <f>VLOOKUP($B28,DosF2C!$B$7:$E$100,2)</f>
        <v>FISCHER J. / STRANIAK H.</v>
      </c>
      <c r="D28" s="62">
        <f>VLOOKUP($B28,DosF2C!$B$7:$E$100,3)</f>
        <v>0</v>
      </c>
      <c r="E28" s="10" t="str">
        <f>VLOOKUP($B28,DosF2C!$B$7:$E$100,4)</f>
        <v>AUT</v>
      </c>
    </row>
    <row r="29" spans="1:5" ht="12.75">
      <c r="A29" s="81">
        <f>A27+$A$71</f>
        <v>0.4652777777777776</v>
      </c>
      <c r="B29" s="53">
        <f>2Round!C30</f>
        <v>34</v>
      </c>
      <c r="C29" s="71" t="str">
        <f>VLOOKUP($B29,DosF2C!$B$7:$E$100,2)</f>
        <v>TITOV V. / JOUGOV V.</v>
      </c>
      <c r="D29" s="54">
        <f>VLOOKUP($B29,DosF2C!$B$7:$E$100,3)</f>
        <v>0</v>
      </c>
      <c r="E29" s="55" t="str">
        <f>VLOOKUP($B29,DosF2C!$B$7:$E$100,4)</f>
        <v>RUS</v>
      </c>
    </row>
    <row r="30" spans="1:5" ht="12.75">
      <c r="A30" s="64"/>
      <c r="B30" s="82">
        <f>2Round!C31</f>
        <v>16</v>
      </c>
      <c r="C30" s="61" t="str">
        <f>VLOOKUP($B30,DosF2C!$B$7:$E$100,2)</f>
        <v>BUCCI L. / PERRET C.</v>
      </c>
      <c r="D30" s="62" t="str">
        <f>VLOOKUP($B30,DosF2C!$B$7:$E$100,3)</f>
        <v>Jun</v>
      </c>
      <c r="E30" s="10" t="str">
        <f>VLOOKUP($B30,DosF2C!$B$7:$E$100,4)</f>
        <v>FRA</v>
      </c>
    </row>
    <row r="31" spans="1:5" ht="12.75">
      <c r="A31" s="81">
        <f>A29+$A$71</f>
        <v>0.4701388888888887</v>
      </c>
      <c r="B31" s="53">
        <f>2Round!C32</f>
        <v>24</v>
      </c>
      <c r="C31" s="71" t="str">
        <f>VLOOKUP($B31,DosF2C!$B$7:$E$100,2)</f>
        <v>PENNISI R. / ROSSI A.</v>
      </c>
      <c r="D31" s="54">
        <f>VLOOKUP($B31,DosF2C!$B$7:$E$100,3)</f>
        <v>0</v>
      </c>
      <c r="E31" s="55" t="str">
        <f>VLOOKUP($B31,DosF2C!$B$7:$E$100,4)</f>
        <v>ITA</v>
      </c>
    </row>
    <row r="32" spans="1:5" ht="12.75">
      <c r="A32" s="64"/>
      <c r="B32" s="82">
        <f>2Round!C33</f>
        <v>41</v>
      </c>
      <c r="C32" s="61" t="str">
        <f>VLOOKUP($B32,DosF2C!$B$7:$E$100,2)</f>
        <v>GUSTAFSSON J. / BJÖHOLM S.</v>
      </c>
      <c r="D32" s="62">
        <f>VLOOKUP($B32,DosF2C!$B$7:$E$100,3)</f>
        <v>0</v>
      </c>
      <c r="E32" s="10" t="str">
        <f>VLOOKUP($B32,DosF2C!$B$7:$E$100,4)</f>
        <v>SWE</v>
      </c>
    </row>
    <row r="33" spans="1:5" ht="12.75">
      <c r="A33" s="81">
        <f>A31+$A$71</f>
        <v>0.4749999999999998</v>
      </c>
      <c r="B33" s="53">
        <f>2Round!C34</f>
        <v>37</v>
      </c>
      <c r="C33" s="71" t="str">
        <f>VLOOKUP($B33,DosF2C!$B$7:$E$100,2)</f>
        <v>ONG R. / SU D.</v>
      </c>
      <c r="D33" s="54">
        <f>VLOOKUP($B33,DosF2C!$B$7:$E$100,3)</f>
        <v>0</v>
      </c>
      <c r="E33" s="55" t="str">
        <f>VLOOKUP($B33,DosF2C!$B$7:$E$100,4)</f>
        <v>SIN</v>
      </c>
    </row>
    <row r="34" spans="1:5" ht="12.75">
      <c r="A34" s="64"/>
      <c r="B34" s="82">
        <f>2Round!C35</f>
        <v>17</v>
      </c>
      <c r="C34" s="61" t="str">
        <f>VLOOKUP($B34,DosF2C!$B$7:$E$100,2)</f>
        <v>LINDEMANN R. / KIEL U.</v>
      </c>
      <c r="D34" s="62">
        <f>VLOOKUP($B34,DosF2C!$B$7:$E$100,3)</f>
        <v>0</v>
      </c>
      <c r="E34" s="10" t="str">
        <f>VLOOKUP($B34,DosF2C!$B$7:$E$100,4)</f>
        <v>GER</v>
      </c>
    </row>
    <row r="35" spans="1:5" ht="12.75">
      <c r="A35" s="81">
        <f>A33+$A$71</f>
        <v>0.4798611111111109</v>
      </c>
      <c r="B35" s="53">
        <f>2Round!C36</f>
        <v>21</v>
      </c>
      <c r="C35" s="71" t="str">
        <f>VLOOKUP($B35,DosF2C!$B$7:$E$100,2)</f>
        <v>SMITH S. / BROWN C.</v>
      </c>
      <c r="D35" s="54">
        <f>VLOOKUP($B35,DosF2C!$B$7:$E$100,3)</f>
        <v>0</v>
      </c>
      <c r="E35" s="55" t="str">
        <f>VLOOKUP($B35,DosF2C!$B$7:$E$100,4)</f>
        <v>GBR</v>
      </c>
    </row>
    <row r="36" spans="1:5" ht="12.75">
      <c r="A36" s="64"/>
      <c r="B36" s="82">
        <f>2Round!C37</f>
        <v>45</v>
      </c>
      <c r="C36" s="61" t="str">
        <f>VLOOKUP($B36,DosF2C!$B$7:$E$100,2)</f>
        <v>BONDARENKO Y. / LERNER S.</v>
      </c>
      <c r="D36" s="62">
        <f>VLOOKUP($B36,DosF2C!$B$7:$E$100,3)</f>
        <v>0</v>
      </c>
      <c r="E36" s="10" t="str">
        <f>VLOOKUP($B36,DosF2C!$B$7:$E$100,4)</f>
        <v>UKR</v>
      </c>
    </row>
    <row r="37" spans="1:5" ht="12.75">
      <c r="A37" s="81">
        <f>A35+$A$71</f>
        <v>0.484722222222222</v>
      </c>
      <c r="B37" s="53">
        <f>2Round!C38</f>
        <v>51</v>
      </c>
      <c r="C37" s="71" t="str">
        <f>VLOOKUP($B37,DosF2C!$B$7:$E$100,2)</f>
        <v>WILLOUGHBY S. / OGE B.</v>
      </c>
      <c r="D37" s="54">
        <f>VLOOKUP($B37,DosF2C!$B$7:$E$100,3)</f>
        <v>0</v>
      </c>
      <c r="E37" s="55" t="str">
        <f>VLOOKUP($B37,DosF2C!$B$7:$E$100,4)</f>
        <v>USA</v>
      </c>
    </row>
    <row r="38" spans="1:5" ht="12.75">
      <c r="A38" s="64"/>
      <c r="B38" s="82">
        <f>2Round!C39</f>
        <v>22</v>
      </c>
      <c r="C38" s="61" t="str">
        <f>VLOOKUP($B38,DosF2C!$B$7:$E$100,2)</f>
        <v>ORVOS F. / NAGY Z.</v>
      </c>
      <c r="D38" s="62">
        <f>VLOOKUP($B38,DosF2C!$B$7:$E$100,3)</f>
        <v>0</v>
      </c>
      <c r="E38" s="10" t="str">
        <f>VLOOKUP($B38,DosF2C!$B$7:$E$100,4)</f>
        <v>HUN</v>
      </c>
    </row>
    <row r="39" spans="1:5" ht="12.75">
      <c r="A39" s="81">
        <f>A37+$A$71</f>
        <v>0.4895833333333331</v>
      </c>
      <c r="B39" s="53">
        <f>2Round!C40</f>
        <v>1</v>
      </c>
      <c r="C39" s="71" t="str">
        <f>VLOOKUP($B39,DosF2C!$B$7:$E$100,2)</f>
        <v>ANDREEV S. / SOBKO S.</v>
      </c>
      <c r="D39" s="54" t="str">
        <f>VLOOKUP($B39,DosF2C!$B$7:$E$100,3)</f>
        <v>W/CH</v>
      </c>
      <c r="E39" s="55" t="str">
        <f>VLOOKUP($B39,DosF2C!$B$7:$E$100,4)</f>
        <v>RUS</v>
      </c>
    </row>
    <row r="40" spans="1:5" ht="12.75">
      <c r="A40" s="64"/>
      <c r="B40" s="82">
        <f>2Round!C41</f>
        <v>42</v>
      </c>
      <c r="C40" s="61" t="str">
        <f>VLOOKUP($B40,DosF2C!$B$7:$E$100,2)</f>
        <v>BORER H. / SACCAVINO C.</v>
      </c>
      <c r="D40" s="62">
        <f>VLOOKUP($B40,DosF2C!$B$7:$E$100,3)</f>
        <v>0</v>
      </c>
      <c r="E40" s="10" t="str">
        <f>VLOOKUP($B40,DosF2C!$B$7:$E$100,4)</f>
        <v>SUI</v>
      </c>
    </row>
    <row r="41" spans="1:5" ht="12.75">
      <c r="A41" s="81">
        <f>A39+$A$71</f>
        <v>0.4944444444444442</v>
      </c>
      <c r="B41" s="53">
        <f>2Round!C42</f>
        <v>19</v>
      </c>
      <c r="C41" s="71" t="str">
        <f>VLOOKUP($B41,DosF2C!$B$7:$E$100,2)</f>
        <v>ROSS M. / TURNER B.</v>
      </c>
      <c r="D41" s="54">
        <f>VLOOKUP($B41,DosF2C!$B$7:$E$100,3)</f>
        <v>0</v>
      </c>
      <c r="E41" s="55" t="str">
        <f>VLOOKUP($B41,DosF2C!$B$7:$E$100,4)</f>
        <v>GBR</v>
      </c>
    </row>
    <row r="42" spans="1:5" ht="12.75">
      <c r="A42" s="64"/>
      <c r="B42" s="82">
        <f>2Round!C43</f>
        <v>2</v>
      </c>
      <c r="C42" s="61" t="str">
        <f>VLOOKUP($B42,DosF2C!$B$7:$E$100,2)</f>
        <v>CAMERON P. / FITZGERALD R.</v>
      </c>
      <c r="D42" s="62">
        <f>VLOOKUP($B42,DosF2C!$B$7:$E$100,3)</f>
        <v>0</v>
      </c>
      <c r="E42" s="10" t="str">
        <f>VLOOKUP($B42,DosF2C!$B$7:$E$100,4)</f>
        <v>AUS</v>
      </c>
    </row>
    <row r="43" spans="1:5" ht="12.75">
      <c r="A43" s="81">
        <f>A41+$A$71</f>
        <v>0.4993055555555553</v>
      </c>
      <c r="B43" s="53">
        <f>2Round!C44</f>
        <v>28</v>
      </c>
      <c r="C43" s="71" t="str">
        <f>VLOOKUP($B43,DosF2C!$B$7:$E$100,2)</f>
        <v>VENDEL Micha / METKEMEIJER R.</v>
      </c>
      <c r="D43" s="54">
        <f>VLOOKUP($B43,DosF2C!$B$7:$E$100,3)</f>
        <v>0</v>
      </c>
      <c r="E43" s="55" t="str">
        <f>VLOOKUP($B43,DosF2C!$B$7:$E$100,4)</f>
        <v>NED</v>
      </c>
    </row>
    <row r="44" spans="1:5" ht="12.75">
      <c r="A44" s="64"/>
      <c r="B44" s="82">
        <f>2Round!C45</f>
        <v>9</v>
      </c>
      <c r="C44" s="61" t="str">
        <f>VLOOKUP($B44,DosF2C!$B$7:$E$100,2)</f>
        <v>JAREBEK J. / PARENT K.</v>
      </c>
      <c r="D44" s="62">
        <f>VLOOKUP($B44,DosF2C!$B$7:$E$100,3)</f>
        <v>0</v>
      </c>
      <c r="E44" s="10" t="str">
        <f>VLOOKUP($B44,DosF2C!$B$7:$E$100,4)</f>
        <v>CAN</v>
      </c>
    </row>
    <row r="45" spans="1:5" ht="12.75">
      <c r="A45" s="81">
        <f>A43+$A$71</f>
        <v>0.5041666666666664</v>
      </c>
      <c r="B45" s="53">
        <f>2Round!C47</f>
        <v>35</v>
      </c>
      <c r="C45" s="71" t="str">
        <f>VLOOKUP($B45,DosF2C!$B$7:$E$100,2)</f>
        <v>USTINOV D. / ORESHKINE A.</v>
      </c>
      <c r="D45" s="54" t="str">
        <f>VLOOKUP($B45,DosF2C!$B$7:$E$100,3)</f>
        <v>Jun</v>
      </c>
      <c r="E45" s="55" t="str">
        <f>VLOOKUP($B45,DosF2C!$B$7:$E$100,4)</f>
        <v>RUS</v>
      </c>
    </row>
    <row r="46" spans="1:5" ht="12.75">
      <c r="A46" s="64"/>
      <c r="B46" s="82">
        <f>2Round!C48</f>
        <v>23</v>
      </c>
      <c r="C46" s="61" t="str">
        <f>VLOOKUP($B46,DosF2C!$B$7:$E$100,2)</f>
        <v>MOHAI I. / SZVACSEK F.</v>
      </c>
      <c r="D46" s="62">
        <f>VLOOKUP($B46,DosF2C!$B$7:$E$100,3)</f>
        <v>0</v>
      </c>
      <c r="E46" s="10" t="str">
        <f>VLOOKUP($B46,DosF2C!$B$7:$E$100,4)</f>
        <v>HUN</v>
      </c>
    </row>
    <row r="47" spans="1:5" ht="12.75">
      <c r="A47" s="81">
        <f>A45+$A$71</f>
        <v>0.5090277777777775</v>
      </c>
      <c r="B47" s="53">
        <f>2Round!C49</f>
        <v>12</v>
      </c>
      <c r="C47" s="71" t="str">
        <f>VLOOKUP($B47,DosF2C!$B$7:$E$100,2)</f>
        <v>LOPEZ J. / DEL HOYO C. </v>
      </c>
      <c r="D47" s="54">
        <f>VLOOKUP($B47,DosF2C!$B$7:$E$100,3)</f>
        <v>0</v>
      </c>
      <c r="E47" s="55" t="str">
        <f>VLOOKUP($B47,DosF2C!$B$7:$E$100,4)</f>
        <v>ESP</v>
      </c>
    </row>
    <row r="48" spans="1:5" ht="12.75">
      <c r="A48" s="64"/>
      <c r="B48" s="82">
        <f>2Round!C50</f>
        <v>3</v>
      </c>
      <c r="C48" s="61" t="str">
        <f>VLOOKUP($B48,DosF2C!$B$7:$E$100,2)</f>
        <v>JUSTIC R. / OWEN R.</v>
      </c>
      <c r="D48" s="62">
        <f>VLOOKUP($B48,DosF2C!$B$7:$E$100,3)</f>
        <v>0</v>
      </c>
      <c r="E48" s="10" t="str">
        <f>VLOOKUP($B48,DosF2C!$B$7:$E$100,4)</f>
        <v>AUS</v>
      </c>
    </row>
    <row r="49" spans="1:5" ht="12.75">
      <c r="A49" s="81">
        <f>A47+$A$71</f>
        <v>0.5138888888888886</v>
      </c>
      <c r="B49" s="53">
        <f>2Round!C51</f>
        <v>20</v>
      </c>
      <c r="C49" s="71" t="str">
        <f>VLOOKUP($B49,DosF2C!$B$7:$E$100,2)</f>
        <v>LANGWORTH B. / CAMPBELL D.</v>
      </c>
      <c r="D49" s="54">
        <f>VLOOKUP($B49,DosF2C!$B$7:$E$100,3)</f>
        <v>0</v>
      </c>
      <c r="E49" s="55" t="str">
        <f>VLOOKUP($B49,DosF2C!$B$7:$E$100,4)</f>
        <v>GBR</v>
      </c>
    </row>
    <row r="50" spans="1:5" ht="12.75">
      <c r="A50" s="64"/>
      <c r="B50" s="82">
        <f>2Round!C52</f>
        <v>43</v>
      </c>
      <c r="C50" s="61" t="str">
        <f>VLOOKUP($B50,DosF2C!$B$7:$E$100,2)</f>
        <v>MUELLER R. / SACCAVINO V.</v>
      </c>
      <c r="D50" s="62">
        <f>VLOOKUP($B50,DosF2C!$B$7:$E$100,3)</f>
        <v>0</v>
      </c>
      <c r="E50" s="10" t="str">
        <f>VLOOKUP($B50,DosF2C!$B$7:$E$100,4)</f>
        <v>SUI</v>
      </c>
    </row>
    <row r="51" spans="1:5" ht="12.75">
      <c r="A51" s="81">
        <f>A49+$A$71</f>
        <v>0.5187499999999997</v>
      </c>
      <c r="B51" s="53">
        <f>2Round!C53</f>
        <v>47</v>
      </c>
      <c r="C51" s="71" t="str">
        <f>VLOOKUP($B51,DosF2C!$B$7:$E$100,2)</f>
        <v>ZHURAVLYOV V. / SOSNOVSKIY V.</v>
      </c>
      <c r="D51" s="54">
        <f>VLOOKUP($B51,DosF2C!$B$7:$E$100,3)</f>
        <v>0</v>
      </c>
      <c r="E51" s="55" t="str">
        <f>VLOOKUP($B51,DosF2C!$B$7:$E$100,4)</f>
        <v>UKR</v>
      </c>
    </row>
    <row r="52" spans="1:5" ht="12.75">
      <c r="A52" s="64"/>
      <c r="B52" s="82">
        <f>2Round!C54</f>
        <v>7</v>
      </c>
      <c r="C52" s="61" t="str">
        <f>VLOOKUP($B52,DosF2C!$B$7:$E$100,2)</f>
        <v>DESSAUCY L. / DESSAUCY J. </v>
      </c>
      <c r="D52" s="62">
        <f>VLOOKUP($B52,DosF2C!$B$7:$E$100,3)</f>
        <v>0</v>
      </c>
      <c r="E52" s="10" t="str">
        <f>VLOOKUP($B52,DosF2C!$B$7:$E$100,4)</f>
        <v>BEL</v>
      </c>
    </row>
    <row r="53" spans="1:5" ht="12.75">
      <c r="A53" s="81">
        <f>A51+$A$71</f>
        <v>0.5236111111111108</v>
      </c>
      <c r="B53" s="53">
        <f>2Round!C55</f>
        <v>29</v>
      </c>
      <c r="C53" s="71" t="str">
        <f>VLOOKUP($B53,DosF2C!$B$7:$E$100,2)</f>
        <v>ZUCHOWSKI M. / DABROWSKI K.</v>
      </c>
      <c r="D53" s="54" t="str">
        <f>VLOOKUP($B53,DosF2C!$B$7:$E$100,3)</f>
        <v>Jun</v>
      </c>
      <c r="E53" s="55" t="str">
        <f>VLOOKUP($B53,DosF2C!$B$7:$E$100,4)</f>
        <v>POL</v>
      </c>
    </row>
    <row r="54" spans="1:5" ht="12.75">
      <c r="A54" s="64"/>
      <c r="B54" s="82">
        <f>2Round!C56</f>
        <v>8</v>
      </c>
      <c r="C54" s="61" t="str">
        <f>VLOOKUP($B54,DosF2C!$B$7:$E$100,2)</f>
        <v>FAIREY R. / FAIREY B. </v>
      </c>
      <c r="D54" s="62">
        <f>VLOOKUP($B54,DosF2C!$B$7:$E$100,3)</f>
        <v>0</v>
      </c>
      <c r="E54" s="10" t="str">
        <f>VLOOKUP($B54,DosF2C!$B$7:$E$100,4)</f>
        <v>CAN</v>
      </c>
    </row>
    <row r="55" spans="1:5" ht="12.75">
      <c r="A55" s="81">
        <f>A53+$A$71</f>
        <v>0.5284722222222219</v>
      </c>
      <c r="B55" s="53">
        <f>2Round!C57</f>
        <v>30</v>
      </c>
      <c r="C55" s="71" t="str">
        <f>VLOOKUP($B55,DosF2C!$B$7:$E$100,2)</f>
        <v>CONTENTE A. / SECO F.</v>
      </c>
      <c r="D55" s="54">
        <f>VLOOKUP($B55,DosF2C!$B$7:$E$100,3)</f>
        <v>0</v>
      </c>
      <c r="E55" s="55" t="str">
        <f>VLOOKUP($B55,DosF2C!$B$7:$E$100,4)</f>
        <v>POR</v>
      </c>
    </row>
    <row r="56" spans="1:5" ht="12.75">
      <c r="A56" s="64"/>
      <c r="B56" s="82">
        <v>25</v>
      </c>
      <c r="C56" s="61" t="str">
        <f>VLOOKUP($B56,DosF2C!$B$7:$E$100,2)</f>
        <v>MAGLI M./  PIRAZZINI E.</v>
      </c>
      <c r="D56" s="62">
        <f>VLOOKUP($B56,DosF2C!$B$7:$E$100,3)</f>
        <v>0</v>
      </c>
      <c r="E56" s="10" t="str">
        <f>VLOOKUP($B56,DosF2C!$B$7:$E$100,4)</f>
        <v>ITA</v>
      </c>
    </row>
    <row r="57" spans="1:5" ht="12.75">
      <c r="A57" s="81">
        <f>A55+$A$71</f>
        <v>0.533333333333333</v>
      </c>
      <c r="B57" s="53">
        <v>39</v>
      </c>
      <c r="C57" s="71" t="str">
        <f>VLOOKUP($B57,DosF2C!$B$7:$E$100,2)</f>
        <v>LOH P. / CHING M. </v>
      </c>
      <c r="D57" s="54">
        <f>VLOOKUP($B57,DosF2C!$B$7:$E$100,3)</f>
        <v>0</v>
      </c>
      <c r="E57" s="55" t="str">
        <f>VLOOKUP($B57,DosF2C!$B$7:$E$100,4)</f>
        <v>SIN</v>
      </c>
    </row>
    <row r="58" spans="1:5" ht="12.75">
      <c r="A58" s="64"/>
      <c r="B58" s="82"/>
      <c r="C58" s="77"/>
      <c r="D58" s="85"/>
      <c r="E58" s="78"/>
    </row>
    <row r="59" spans="1:5" ht="11.25">
      <c r="A59"/>
      <c r="B59"/>
      <c r="C59"/>
      <c r="D59"/>
      <c r="E59"/>
    </row>
    <row r="60" spans="1:5" ht="11.25">
      <c r="A60"/>
      <c r="B60"/>
      <c r="C60"/>
      <c r="D60"/>
      <c r="E60"/>
    </row>
    <row r="61" spans="1:5" ht="11.25">
      <c r="A61"/>
      <c r="B61"/>
      <c r="C61"/>
      <c r="D61"/>
      <c r="E61"/>
    </row>
    <row r="62" spans="1:5" ht="11.25">
      <c r="A62"/>
      <c r="B62"/>
      <c r="C62"/>
      <c r="D62"/>
      <c r="E62"/>
    </row>
    <row r="63" spans="1:5" ht="11.25">
      <c r="A63"/>
      <c r="B63"/>
      <c r="C63"/>
      <c r="D63"/>
      <c r="E63"/>
    </row>
    <row r="64" spans="1:5" ht="11.25">
      <c r="A64"/>
      <c r="B64"/>
      <c r="C64"/>
      <c r="D64"/>
      <c r="E64"/>
    </row>
    <row r="65" spans="1:5" ht="11.25">
      <c r="A65"/>
      <c r="B65"/>
      <c r="C65"/>
      <c r="D65"/>
      <c r="E65"/>
    </row>
    <row r="66" spans="1:5" ht="11.25">
      <c r="A66"/>
      <c r="B66"/>
      <c r="C66"/>
      <c r="D66"/>
      <c r="E66"/>
    </row>
    <row r="67" spans="1:5" ht="11.25">
      <c r="A67"/>
      <c r="B67"/>
      <c r="C67"/>
      <c r="D67"/>
      <c r="E67"/>
    </row>
    <row r="68" spans="1:5" ht="11.25">
      <c r="A68"/>
      <c r="B68"/>
      <c r="C68"/>
      <c r="D68"/>
      <c r="E68"/>
    </row>
    <row r="69" spans="1:5" ht="11.25">
      <c r="A69"/>
      <c r="B69"/>
      <c r="C69"/>
      <c r="D69"/>
      <c r="E69"/>
    </row>
    <row r="70" spans="1:5" ht="11.25">
      <c r="A70"/>
      <c r="B70"/>
      <c r="C70"/>
      <c r="D70"/>
      <c r="E70"/>
    </row>
    <row r="71" spans="1:2" ht="12.75">
      <c r="A71" s="69">
        <v>0.004861111111111111</v>
      </c>
      <c r="B71" s="70" t="s">
        <v>141</v>
      </c>
    </row>
  </sheetData>
  <printOptions/>
  <pageMargins left="1.968503937007874" right="0.5905511811023623" top="0.3937007874015748" bottom="0.3937007874015748" header="0.5118110236220472" footer="0.5118110236220472"/>
  <pageSetup fitToHeight="1" fitToWidth="1"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workbookViewId="0" topLeftCell="A1">
      <selection activeCell="C4" sqref="C4"/>
    </sheetView>
  </sheetViews>
  <sheetFormatPr defaultColWidth="9.140625" defaultRowHeight="12.75"/>
  <cols>
    <col min="1" max="1" width="8.8515625" style="2" customWidth="1"/>
    <col min="2" max="2" width="5.7109375" style="41" customWidth="1"/>
    <col min="3" max="3" width="34.00390625" style="42" customWidth="1"/>
    <col min="4" max="4" width="7.57421875" style="43" customWidth="1"/>
    <col min="5" max="5" width="6.28125" style="68" customWidth="1"/>
    <col min="6" max="16384" width="11.421875" style="0" customWidth="1"/>
  </cols>
  <sheetData>
    <row r="1" spans="2:5" ht="3" customHeight="1">
      <c r="B1"/>
      <c r="C1" s="28"/>
      <c r="D1" s="33"/>
      <c r="E1" s="34"/>
    </row>
    <row r="2" spans="2:5" ht="13.5">
      <c r="B2" s="28"/>
      <c r="C2" s="37" t="s">
        <v>82</v>
      </c>
      <c r="D2" s="38"/>
      <c r="E2" s="2"/>
    </row>
    <row r="3" spans="2:5" ht="13.5">
      <c r="B3" s="28"/>
      <c r="C3" s="3"/>
      <c r="D3" s="38"/>
      <c r="E3" s="2"/>
    </row>
    <row r="4" spans="1:5" ht="13.5">
      <c r="A4"/>
      <c r="B4"/>
      <c r="C4" s="325" t="str">
        <f>3Round!D4</f>
        <v>Monday 17th of July</v>
      </c>
      <c r="D4" s="223"/>
      <c r="E4" s="3"/>
    </row>
    <row r="5" spans="3:5" ht="12.75">
      <c r="C5" s="326" t="s">
        <v>146</v>
      </c>
      <c r="E5" s="44"/>
    </row>
    <row r="6" spans="3:5" ht="12.75">
      <c r="C6" s="80"/>
      <c r="E6" s="44"/>
    </row>
    <row r="7" spans="2:5" ht="13.5">
      <c r="B7" s="46"/>
      <c r="C7" s="47" t="s">
        <v>149</v>
      </c>
      <c r="D7" s="224"/>
      <c r="E7"/>
    </row>
    <row r="8" spans="1:5" ht="13.5">
      <c r="A8" s="49"/>
      <c r="B8" s="46"/>
      <c r="C8" s="50"/>
      <c r="D8" s="38"/>
      <c r="E8" s="48"/>
    </row>
    <row r="9" spans="1:5" ht="12.75">
      <c r="A9" s="81">
        <v>0.4166666666666667</v>
      </c>
      <c r="B9" s="53">
        <f>3Round!C9</f>
        <v>3</v>
      </c>
      <c r="C9" s="71" t="str">
        <f>VLOOKUP($B9,DosF2C!$B$7:$E$100,2)</f>
        <v>JUSTIC R. / OWEN R.</v>
      </c>
      <c r="D9" s="54">
        <f>VLOOKUP($B9,DosF2C!$B$7:$E$100,3)</f>
        <v>0</v>
      </c>
      <c r="E9" s="55" t="str">
        <f>VLOOKUP($B9,DosF2C!$B$7:$E$100,4)</f>
        <v>AUS</v>
      </c>
    </row>
    <row r="10" spans="1:5" ht="12.75">
      <c r="A10" s="64"/>
      <c r="B10" s="82">
        <f>3Round!C10</f>
        <v>16</v>
      </c>
      <c r="C10" s="61" t="str">
        <f>VLOOKUP($B10,DosF2C!$B$7:$E$100,2)</f>
        <v>BUCCI L. / PERRET C.</v>
      </c>
      <c r="D10" s="62" t="str">
        <f>VLOOKUP($B10,DosF2C!$B$7:$E$100,3)</f>
        <v>Jun</v>
      </c>
      <c r="E10" s="10" t="str">
        <f>VLOOKUP($B10,DosF2C!$B$7:$E$100,4)</f>
        <v>FRA</v>
      </c>
    </row>
    <row r="11" spans="1:5" ht="12.75">
      <c r="A11" s="81">
        <f>A9+$A$71</f>
        <v>0.4215277777777778</v>
      </c>
      <c r="B11" s="53">
        <f>3Round!C11</f>
        <v>36</v>
      </c>
      <c r="C11" s="71" t="str">
        <f>VLOOKUP($B11,DosF2C!$B$7:$E$100,2)</f>
        <v>ABDHUL RAMAN N. / NAJIMUDEEN H.</v>
      </c>
      <c r="D11" s="54" t="str">
        <f>VLOOKUP($B11,DosF2C!$B$7:$E$100,3)</f>
        <v>Jun</v>
      </c>
      <c r="E11" s="55" t="str">
        <f>VLOOKUP($B11,DosF2C!$B$7:$E$100,4)</f>
        <v>SIN</v>
      </c>
    </row>
    <row r="12" spans="1:5" ht="12.75">
      <c r="A12" s="64"/>
      <c r="B12" s="82">
        <f>3Round!C12</f>
        <v>15</v>
      </c>
      <c r="C12" s="61" t="str">
        <f>VLOOKUP($B12,DosF2C!$B$7:$E$100,2)</f>
        <v>SURUGUE P. / SURUGUE G.</v>
      </c>
      <c r="D12" s="62">
        <f>VLOOKUP($B12,DosF2C!$B$7:$E$100,3)</f>
        <v>0</v>
      </c>
      <c r="E12" s="10" t="str">
        <f>VLOOKUP($B12,DosF2C!$B$7:$E$100,4)</f>
        <v>FRA</v>
      </c>
    </row>
    <row r="13" spans="1:8" ht="12.75">
      <c r="A13" s="81">
        <f>A11+$A$71</f>
        <v>0.4263888888888889</v>
      </c>
      <c r="B13" s="53">
        <f>3Round!C13</f>
        <v>19</v>
      </c>
      <c r="C13" s="71" t="str">
        <f>VLOOKUP($B13,DosF2C!$B$7:$E$100,2)</f>
        <v>ROSS M. / TURNER B.</v>
      </c>
      <c r="D13" s="54">
        <f>VLOOKUP($B13,DosF2C!$B$7:$E$100,3)</f>
        <v>0</v>
      </c>
      <c r="E13" s="55" t="str">
        <f>VLOOKUP($B13,DosF2C!$B$7:$E$100,4)</f>
        <v>GBR</v>
      </c>
      <c r="H13" t="s">
        <v>150</v>
      </c>
    </row>
    <row r="14" spans="1:5" ht="12.75">
      <c r="A14" s="64"/>
      <c r="B14" s="82">
        <f>3Round!C14</f>
        <v>38</v>
      </c>
      <c r="C14" s="61" t="str">
        <f>VLOOKUP($B14,DosF2C!$B$7:$E$100,2)</f>
        <v>SATHA S. / WEE C.</v>
      </c>
      <c r="D14" s="62">
        <f>VLOOKUP($B14,DosF2C!$B$7:$E$100,3)</f>
        <v>0</v>
      </c>
      <c r="E14" s="10" t="str">
        <f>VLOOKUP($B14,DosF2C!$B$7:$E$100,4)</f>
        <v>SIN</v>
      </c>
    </row>
    <row r="15" spans="1:5" ht="12.75">
      <c r="A15" s="81">
        <f>A13+$A$71</f>
        <v>0.43124999999999997</v>
      </c>
      <c r="B15" s="53">
        <f>3Round!C15</f>
        <v>46</v>
      </c>
      <c r="C15" s="71" t="str">
        <f>VLOOKUP($B15,DosF2C!$B$7:$E$100,2)</f>
        <v>BEZMERTNY Y. / FULITKA V.</v>
      </c>
      <c r="D15" s="54">
        <f>VLOOKUP($B15,DosF2C!$B$7:$E$100,3)</f>
        <v>0</v>
      </c>
      <c r="E15" s="55" t="str">
        <f>VLOOKUP($B15,DosF2C!$B$7:$E$100,4)</f>
        <v>UKR</v>
      </c>
    </row>
    <row r="16" spans="1:5" ht="12.75">
      <c r="A16" s="64"/>
      <c r="B16" s="82">
        <f>3Round!C16</f>
        <v>44</v>
      </c>
      <c r="C16" s="61" t="str">
        <f>VLOOKUP($B16,DosF2C!$B$7:$E$100,2)</f>
        <v>GIGER P. / STUDER H.</v>
      </c>
      <c r="D16" s="62">
        <f>VLOOKUP($B16,DosF2C!$B$7:$E$100,3)</f>
        <v>0</v>
      </c>
      <c r="E16" s="10" t="str">
        <f>VLOOKUP($B16,DosF2C!$B$7:$E$100,4)</f>
        <v>SUI</v>
      </c>
    </row>
    <row r="17" spans="1:5" ht="12.75">
      <c r="A17" s="81">
        <f>A15+$A$71</f>
        <v>0.43611111111111106</v>
      </c>
      <c r="B17" s="53">
        <f>3Round!C17</f>
        <v>5</v>
      </c>
      <c r="C17" s="71" t="str">
        <f>VLOOKUP($B17,DosF2C!$B$7:$E$100,2)</f>
        <v>FISCHER J. / STRANIAK H.</v>
      </c>
      <c r="D17" s="54">
        <f>VLOOKUP($B17,DosF2C!$B$7:$E$100,3)</f>
        <v>0</v>
      </c>
      <c r="E17" s="55" t="str">
        <f>VLOOKUP($B17,DosF2C!$B$7:$E$100,4)</f>
        <v>AUT</v>
      </c>
    </row>
    <row r="18" spans="1:5" ht="12.75">
      <c r="A18" s="64"/>
      <c r="B18" s="82">
        <f>3Round!C18</f>
        <v>35</v>
      </c>
      <c r="C18" s="61" t="str">
        <f>VLOOKUP($B18,DosF2C!$B$7:$E$100,2)</f>
        <v>USTINOV D. / ORESHKINE A.</v>
      </c>
      <c r="D18" s="62" t="str">
        <f>VLOOKUP($B18,DosF2C!$B$7:$E$100,3)</f>
        <v>Jun</v>
      </c>
      <c r="E18" s="10" t="str">
        <f>VLOOKUP($B18,DosF2C!$B$7:$E$100,4)</f>
        <v>RUS</v>
      </c>
    </row>
    <row r="19" spans="1:5" ht="12.75">
      <c r="A19" s="81">
        <f>A17+$A$71</f>
        <v>0.44097222222222215</v>
      </c>
      <c r="B19" s="53">
        <f>3Round!C19</f>
        <v>14</v>
      </c>
      <c r="C19" s="71" t="str">
        <f>VLOOKUP($B19,DosF2C!$B$7:$E$100,2)</f>
        <v>DELOR B. / CONSTANT P.</v>
      </c>
      <c r="D19" s="54">
        <f>VLOOKUP($B19,DosF2C!$B$7:$E$100,3)</f>
        <v>0</v>
      </c>
      <c r="E19" s="55" t="str">
        <f>VLOOKUP($B19,DosF2C!$B$7:$E$100,4)</f>
        <v>FRA</v>
      </c>
    </row>
    <row r="20" spans="1:5" ht="12.75">
      <c r="A20" s="64"/>
      <c r="B20" s="82">
        <f>3Round!C20</f>
        <v>18</v>
      </c>
      <c r="C20" s="61" t="str">
        <f>VLOOKUP($B20,DosF2C!$B$7:$E$100,2)</f>
        <v>MARSCHALL H./ KUCKELKORN F.</v>
      </c>
      <c r="D20" s="62">
        <f>VLOOKUP($B20,DosF2C!$B$7:$E$100,3)</f>
        <v>0</v>
      </c>
      <c r="E20" s="10" t="str">
        <f>VLOOKUP($B20,DosF2C!$B$7:$E$100,4)</f>
        <v>GER</v>
      </c>
    </row>
    <row r="21" spans="1:5" ht="12.75">
      <c r="A21" s="81">
        <f>A19+$A$71</f>
        <v>0.44583333333333325</v>
      </c>
      <c r="B21" s="53">
        <f>3Round!C21</f>
        <v>43</v>
      </c>
      <c r="C21" s="71" t="str">
        <f>VLOOKUP($B21,DosF2C!$B$7:$E$100,2)</f>
        <v>MUELLER R. / SACCAVINO V.</v>
      </c>
      <c r="D21" s="54">
        <f>VLOOKUP($B21,DosF2C!$B$7:$E$100,3)</f>
        <v>0</v>
      </c>
      <c r="E21" s="55" t="str">
        <f>VLOOKUP($B21,DosF2C!$B$7:$E$100,4)</f>
        <v>SUI</v>
      </c>
    </row>
    <row r="22" spans="1:5" ht="12.75">
      <c r="A22" s="64"/>
      <c r="B22" s="82">
        <f>3Round!C22</f>
        <v>8</v>
      </c>
      <c r="C22" s="61" t="str">
        <f>VLOOKUP($B22,DosF2C!$B$7:$E$100,2)</f>
        <v>FAIREY R. / FAIREY B. </v>
      </c>
      <c r="D22" s="62">
        <f>VLOOKUP($B22,DosF2C!$B$7:$E$100,3)</f>
        <v>0</v>
      </c>
      <c r="E22" s="10" t="str">
        <f>VLOOKUP($B22,DosF2C!$B$7:$E$100,4)</f>
        <v>CAN</v>
      </c>
    </row>
    <row r="23" spans="1:5" ht="12.75">
      <c r="A23" s="81">
        <f>A21+$A$71</f>
        <v>0.45069444444444434</v>
      </c>
      <c r="B23" s="53">
        <f>3Round!C23</f>
        <v>26</v>
      </c>
      <c r="C23" s="71" t="str">
        <f>VLOOKUP($B23,DosF2C!$B$7:$E$100,2)</f>
        <v>MARTINI G. / MENOZZI M.</v>
      </c>
      <c r="D23" s="54">
        <f>VLOOKUP($B23,DosF2C!$B$7:$E$100,3)</f>
        <v>0</v>
      </c>
      <c r="E23" s="55" t="str">
        <f>VLOOKUP($B23,DosF2C!$B$7:$E$100,4)</f>
        <v>ITA</v>
      </c>
    </row>
    <row r="24" spans="1:5" ht="12.75">
      <c r="A24" s="64"/>
      <c r="B24" s="82">
        <f>3Round!C24</f>
        <v>20</v>
      </c>
      <c r="C24" s="61" t="str">
        <f>VLOOKUP($B24,DosF2C!$B$7:$E$100,2)</f>
        <v>LANGWORTH B. / CAMPBELL D.</v>
      </c>
      <c r="D24" s="62">
        <f>VLOOKUP($B24,DosF2C!$B$7:$E$100,3)</f>
        <v>0</v>
      </c>
      <c r="E24" s="10" t="str">
        <f>VLOOKUP($B24,DosF2C!$B$7:$E$100,4)</f>
        <v>GBR</v>
      </c>
    </row>
    <row r="25" spans="1:5" ht="12.75">
      <c r="A25" s="81">
        <f>A23+$A$71</f>
        <v>0.45555555555555544</v>
      </c>
      <c r="B25" s="53">
        <f>3Round!C25</f>
        <v>10</v>
      </c>
      <c r="C25" s="71" t="str">
        <f>VLOOKUP($B25,DosF2C!$B$7:$E$100,2)</f>
        <v>BARRAGAN A. / BARRAGAN J.</v>
      </c>
      <c r="D25" s="54">
        <f>VLOOKUP($B25,DosF2C!$B$7:$E$100,3)</f>
        <v>0</v>
      </c>
      <c r="E25" s="55" t="str">
        <f>VLOOKUP($B25,DosF2C!$B$7:$E$100,4)</f>
        <v>ESP</v>
      </c>
    </row>
    <row r="26" spans="1:5" ht="12.75">
      <c r="A26" s="64"/>
      <c r="B26" s="82">
        <f>3Round!C26</f>
        <v>1</v>
      </c>
      <c r="C26" s="61" t="str">
        <f>VLOOKUP($B26,DosF2C!$B$7:$E$100,2)</f>
        <v>ANDREEV S. / SOBKO S.</v>
      </c>
      <c r="D26" s="62" t="str">
        <f>VLOOKUP($B26,DosF2C!$B$7:$E$100,3)</f>
        <v>W/CH</v>
      </c>
      <c r="E26" s="10" t="str">
        <f>VLOOKUP($B26,DosF2C!$B$7:$E$100,4)</f>
        <v>RUS</v>
      </c>
    </row>
    <row r="27" spans="1:5" ht="12.75">
      <c r="A27" s="81">
        <f>A25+$A$71</f>
        <v>0.46041666666666653</v>
      </c>
      <c r="B27" s="53">
        <f>3Round!C28</f>
        <v>33</v>
      </c>
      <c r="C27" s="71" t="str">
        <f>VLOOKUP($B27,DosF2C!$B$7:$E$100,2)</f>
        <v>SURKOV O. / BALEZINE V.</v>
      </c>
      <c r="D27" s="54">
        <f>VLOOKUP($B27,DosF2C!$B$7:$E$100,3)</f>
        <v>0</v>
      </c>
      <c r="E27" s="55" t="str">
        <f>VLOOKUP($B27,DosF2C!$B$7:$E$100,4)</f>
        <v>RUS</v>
      </c>
    </row>
    <row r="28" spans="1:5" ht="12.75">
      <c r="A28" s="64"/>
      <c r="B28" s="82">
        <f>3Round!C29</f>
        <v>29</v>
      </c>
      <c r="C28" s="61" t="str">
        <f>VLOOKUP($B28,DosF2C!$B$7:$E$100,2)</f>
        <v>ZUCHOWSKI M. / DABROWSKI K.</v>
      </c>
      <c r="D28" s="62" t="str">
        <f>VLOOKUP($B28,DosF2C!$B$7:$E$100,3)</f>
        <v>Jun</v>
      </c>
      <c r="E28" s="10" t="str">
        <f>VLOOKUP($B28,DosF2C!$B$7:$E$100,4)</f>
        <v>POL</v>
      </c>
    </row>
    <row r="29" spans="1:5" ht="12.75">
      <c r="A29" s="81">
        <f>A27+$A$71</f>
        <v>0.4652777777777776</v>
      </c>
      <c r="B29" s="53">
        <f>3Round!C30</f>
        <v>31</v>
      </c>
      <c r="C29" s="71" t="str">
        <f>VLOOKUP($B29,DosF2C!$B$7:$E$100,2)</f>
        <v>MORTINHO A. / GOULAO J.</v>
      </c>
      <c r="D29" s="54">
        <f>VLOOKUP($B29,DosF2C!$B$7:$E$100,3)</f>
        <v>0</v>
      </c>
      <c r="E29" s="55" t="str">
        <f>VLOOKUP($B29,DosF2C!$B$7:$E$100,4)</f>
        <v>POR</v>
      </c>
    </row>
    <row r="30" spans="1:5" ht="12.75">
      <c r="A30" s="64"/>
      <c r="B30" s="82">
        <f>3Round!C31</f>
        <v>6</v>
      </c>
      <c r="C30" s="61" t="str">
        <f>VLOOKUP($B30,DosF2C!$B$7:$E$100,2)</f>
        <v>NITSCHE H. / NITSCHE H.</v>
      </c>
      <c r="D30" s="62">
        <f>VLOOKUP($B30,DosF2C!$B$7:$E$100,3)</f>
        <v>0</v>
      </c>
      <c r="E30" s="10" t="str">
        <f>VLOOKUP($B30,DosF2C!$B$7:$E$100,4)</f>
        <v>AUT</v>
      </c>
    </row>
    <row r="31" spans="1:5" ht="12.75">
      <c r="A31" s="81">
        <f>A29+$A$71</f>
        <v>0.4701388888888887</v>
      </c>
      <c r="B31" s="53">
        <f>3Round!C32</f>
        <v>28</v>
      </c>
      <c r="C31" s="71" t="str">
        <f>VLOOKUP($B31,DosF2C!$B$7:$E$100,2)</f>
        <v>VENDEL Micha / METKEMEIJER R.</v>
      </c>
      <c r="D31" s="54">
        <f>VLOOKUP($B31,DosF2C!$B$7:$E$100,3)</f>
        <v>0</v>
      </c>
      <c r="E31" s="55" t="str">
        <f>VLOOKUP($B31,DosF2C!$B$7:$E$100,4)</f>
        <v>NED</v>
      </c>
    </row>
    <row r="32" spans="1:5" ht="12.75">
      <c r="A32" s="64"/>
      <c r="B32" s="82">
        <f>3Round!C33</f>
        <v>9</v>
      </c>
      <c r="C32" s="61" t="str">
        <f>VLOOKUP($B32,DosF2C!$B$7:$E$100,2)</f>
        <v>JAREBEK J. / PARENT K.</v>
      </c>
      <c r="D32" s="62">
        <f>VLOOKUP($B32,DosF2C!$B$7:$E$100,3)</f>
        <v>0</v>
      </c>
      <c r="E32" s="10" t="str">
        <f>VLOOKUP($B32,DosF2C!$B$7:$E$100,4)</f>
        <v>CAN</v>
      </c>
    </row>
    <row r="33" spans="1:5" ht="12.75">
      <c r="A33" s="81">
        <f>A31+$A$71</f>
        <v>0.4749999999999998</v>
      </c>
      <c r="B33" s="53">
        <f>3Round!C34</f>
        <v>7</v>
      </c>
      <c r="C33" s="71" t="str">
        <f>VLOOKUP($B33,DosF2C!$B$7:$E$100,2)</f>
        <v>DESSAUCY L. / DESSAUCY J. </v>
      </c>
      <c r="D33" s="54">
        <f>VLOOKUP($B33,DosF2C!$B$7:$E$100,3)</f>
        <v>0</v>
      </c>
      <c r="E33" s="55" t="str">
        <f>VLOOKUP($B33,DosF2C!$B$7:$E$100,4)</f>
        <v>BEL</v>
      </c>
    </row>
    <row r="34" spans="1:5" ht="12.75">
      <c r="A34" s="64"/>
      <c r="B34" s="82">
        <f>3Round!C35</f>
        <v>50</v>
      </c>
      <c r="C34" s="61" t="str">
        <f>VLOOKUP($B34,DosF2C!$B$7:$E$100,2)</f>
        <v>BALLARD J. / LAMBERT D.</v>
      </c>
      <c r="D34" s="62">
        <f>VLOOKUP($B34,DosF2C!$B$7:$E$100,3)</f>
        <v>0</v>
      </c>
      <c r="E34" s="10" t="str">
        <f>VLOOKUP($B34,DosF2C!$B$7:$E$100,4)</f>
        <v>USA</v>
      </c>
    </row>
    <row r="35" spans="1:5" ht="12.75">
      <c r="A35" s="81">
        <f>A33+$A$71</f>
        <v>0.4798611111111109</v>
      </c>
      <c r="B35" s="53">
        <f>3Round!C36</f>
        <v>42</v>
      </c>
      <c r="C35" s="71" t="str">
        <f>VLOOKUP($B35,DosF2C!$B$7:$E$100,2)</f>
        <v>BORER H. / SACCAVINO C.</v>
      </c>
      <c r="D35" s="54">
        <f>VLOOKUP($B35,DosF2C!$B$7:$E$100,3)</f>
        <v>0</v>
      </c>
      <c r="E35" s="55" t="str">
        <f>VLOOKUP($B35,DosF2C!$B$7:$E$100,4)</f>
        <v>SUI</v>
      </c>
    </row>
    <row r="36" spans="1:5" ht="12.75">
      <c r="A36" s="64"/>
      <c r="B36" s="82">
        <f>3Round!C37</f>
        <v>34</v>
      </c>
      <c r="C36" s="61" t="str">
        <f>VLOOKUP($B36,DosF2C!$B$7:$E$100,2)</f>
        <v>TITOV V. / JOUGOV V.</v>
      </c>
      <c r="D36" s="62">
        <f>VLOOKUP($B36,DosF2C!$B$7:$E$100,3)</f>
        <v>0</v>
      </c>
      <c r="E36" s="10" t="str">
        <f>VLOOKUP($B36,DosF2C!$B$7:$E$100,4)</f>
        <v>RUS</v>
      </c>
    </row>
    <row r="37" spans="1:5" ht="12.75">
      <c r="A37" s="81">
        <f>A35+$A$71</f>
        <v>0.484722222222222</v>
      </c>
      <c r="B37" s="53">
        <f>3Round!C38</f>
        <v>47</v>
      </c>
      <c r="C37" s="71" t="str">
        <f>VLOOKUP($B37,DosF2C!$B$7:$E$100,2)</f>
        <v>ZHURAVLYOV V. / SOSNOVSKIY V.</v>
      </c>
      <c r="D37" s="54">
        <f>VLOOKUP($B37,DosF2C!$B$7:$E$100,3)</f>
        <v>0</v>
      </c>
      <c r="E37" s="55" t="str">
        <f>VLOOKUP($B37,DosF2C!$B$7:$E$100,4)</f>
        <v>UKR</v>
      </c>
    </row>
    <row r="38" spans="1:5" ht="12.75">
      <c r="A38" s="64"/>
      <c r="B38" s="82">
        <f>3Round!C39</f>
        <v>17</v>
      </c>
      <c r="C38" s="61" t="str">
        <f>VLOOKUP($B38,DosF2C!$B$7:$E$100,2)</f>
        <v>LINDEMANN R. / KIEL U.</v>
      </c>
      <c r="D38" s="62">
        <f>VLOOKUP($B38,DosF2C!$B$7:$E$100,3)</f>
        <v>0</v>
      </c>
      <c r="E38" s="10" t="str">
        <f>VLOOKUP($B38,DosF2C!$B$7:$E$100,4)</f>
        <v>GER</v>
      </c>
    </row>
    <row r="39" spans="1:5" ht="12.75">
      <c r="A39" s="81">
        <f>A37+$A$71</f>
        <v>0.4895833333333331</v>
      </c>
      <c r="B39" s="53">
        <f>3Round!C40</f>
        <v>32</v>
      </c>
      <c r="C39" s="71" t="str">
        <f>VLOOKUP($B39,DosF2C!$B$7:$E$100,2)</f>
        <v>CHABACHOV J. / MOSKALEEV S.</v>
      </c>
      <c r="D39" s="54">
        <f>VLOOKUP($B39,DosF2C!$B$7:$E$100,3)</f>
        <v>0</v>
      </c>
      <c r="E39" s="55" t="str">
        <f>VLOOKUP($B39,DosF2C!$B$7:$E$100,4)</f>
        <v>RUS</v>
      </c>
    </row>
    <row r="40" spans="1:5" ht="12.75">
      <c r="A40" s="64"/>
      <c r="B40" s="82">
        <f>3Round!C41</f>
        <v>41</v>
      </c>
      <c r="C40" s="61" t="str">
        <f>VLOOKUP($B40,DosF2C!$B$7:$E$100,2)</f>
        <v>GUSTAFSSON J. / BJÖHOLM S.</v>
      </c>
      <c r="D40" s="62">
        <f>VLOOKUP($B40,DosF2C!$B$7:$E$100,3)</f>
        <v>0</v>
      </c>
      <c r="E40" s="10" t="str">
        <f>VLOOKUP($B40,DosF2C!$B$7:$E$100,4)</f>
        <v>SWE</v>
      </c>
    </row>
    <row r="41" spans="1:5" ht="12.75">
      <c r="A41" s="81">
        <f>A39+$A$71</f>
        <v>0.4944444444444442</v>
      </c>
      <c r="B41" s="53">
        <f>3Round!C42</f>
        <v>39</v>
      </c>
      <c r="C41" s="71" t="str">
        <f>VLOOKUP($B41,DosF2C!$B$7:$E$100,2)</f>
        <v>LOH P. / CHING M. </v>
      </c>
      <c r="D41" s="54">
        <f>VLOOKUP($B41,DosF2C!$B$7:$E$100,3)</f>
        <v>0</v>
      </c>
      <c r="E41" s="55" t="str">
        <f>VLOOKUP($B41,DosF2C!$B$7:$E$100,4)</f>
        <v>SIN</v>
      </c>
    </row>
    <row r="42" spans="1:5" ht="12.75">
      <c r="A42" s="64"/>
      <c r="B42" s="82">
        <f>3Round!C43</f>
        <v>24</v>
      </c>
      <c r="C42" s="61" t="str">
        <f>VLOOKUP($B42,DosF2C!$B$7:$E$100,2)</f>
        <v>PENNISI R. / ROSSI A.</v>
      </c>
      <c r="D42" s="62">
        <f>VLOOKUP($B42,DosF2C!$B$7:$E$100,3)</f>
        <v>0</v>
      </c>
      <c r="E42" s="10" t="str">
        <f>VLOOKUP($B42,DosF2C!$B$7:$E$100,4)</f>
        <v>ITA</v>
      </c>
    </row>
    <row r="43" spans="1:5" ht="12.75">
      <c r="A43" s="81">
        <f>A41+$A$71</f>
        <v>0.4993055555555553</v>
      </c>
      <c r="B43" s="53">
        <f>3Round!C44</f>
        <v>22</v>
      </c>
      <c r="C43" s="71" t="str">
        <f>VLOOKUP($B43,DosF2C!$B$7:$E$100,2)</f>
        <v>ORVOS F. / NAGY Z.</v>
      </c>
      <c r="D43" s="54">
        <f>VLOOKUP($B43,DosF2C!$B$7:$E$100,3)</f>
        <v>0</v>
      </c>
      <c r="E43" s="55" t="str">
        <f>VLOOKUP($B43,DosF2C!$B$7:$E$100,4)</f>
        <v>HUN</v>
      </c>
    </row>
    <row r="44" spans="1:5" ht="12.75">
      <c r="A44" s="64"/>
      <c r="B44" s="82">
        <f>3Round!C45</f>
        <v>4</v>
      </c>
      <c r="C44" s="61" t="str">
        <f>VLOOKUP($B44,DosF2C!$B$7:$E$100,2)</f>
        <v>WILSON G. / STEIN P.</v>
      </c>
      <c r="D44" s="62">
        <f>VLOOKUP($B44,DosF2C!$B$7:$E$100,3)</f>
        <v>0</v>
      </c>
      <c r="E44" s="10" t="str">
        <f>VLOOKUP($B44,DosF2C!$B$7:$E$100,4)</f>
        <v>AUS</v>
      </c>
    </row>
    <row r="45" spans="1:5" ht="12.75">
      <c r="A45" s="81">
        <f>A43+$A$71</f>
        <v>0.5041666666666664</v>
      </c>
      <c r="B45" s="53">
        <f>3Round!C47</f>
        <v>40</v>
      </c>
      <c r="C45" s="71" t="str">
        <f>VLOOKUP($B45,DosF2C!$B$7:$E$100,2)</f>
        <v>SAMUELSSON B. O. / AXTILIUS K.</v>
      </c>
      <c r="D45" s="54">
        <f>VLOOKUP($B45,DosF2C!$B$7:$E$100,3)</f>
        <v>0</v>
      </c>
      <c r="E45" s="55" t="str">
        <f>VLOOKUP($B45,DosF2C!$B$7:$E$100,4)</f>
        <v>SWE</v>
      </c>
    </row>
    <row r="46" spans="1:5" ht="12.75">
      <c r="A46" s="64"/>
      <c r="B46" s="82">
        <f>3Round!C48</f>
        <v>12</v>
      </c>
      <c r="C46" s="61" t="str">
        <f>VLOOKUP($B46,DosF2C!$B$7:$E$100,2)</f>
        <v>LOPEZ J. / DEL HOYO C. </v>
      </c>
      <c r="D46" s="62">
        <f>VLOOKUP($B46,DosF2C!$B$7:$E$100,3)</f>
        <v>0</v>
      </c>
      <c r="E46" s="10" t="str">
        <f>VLOOKUP($B46,DosF2C!$B$7:$E$100,4)</f>
        <v>ESP</v>
      </c>
    </row>
    <row r="47" spans="1:5" ht="12.75">
      <c r="A47" s="81">
        <f>A45+$A$71</f>
        <v>0.5090277777777775</v>
      </c>
      <c r="B47" s="53">
        <f>3Round!C49</f>
        <v>13</v>
      </c>
      <c r="C47" s="71" t="str">
        <f>VLOOKUP($B47,DosF2C!$B$7:$E$100,2)</f>
        <v>MARET J. / PERRET J.P.</v>
      </c>
      <c r="D47" s="54">
        <f>VLOOKUP($B47,DosF2C!$B$7:$E$100,3)</f>
        <v>0</v>
      </c>
      <c r="E47" s="55" t="str">
        <f>VLOOKUP($B47,DosF2C!$B$7:$E$100,4)</f>
        <v>FRA</v>
      </c>
    </row>
    <row r="48" spans="1:5" ht="12.75">
      <c r="A48" s="64"/>
      <c r="B48" s="82">
        <f>3Round!C50</f>
        <v>23</v>
      </c>
      <c r="C48" s="61" t="str">
        <f>VLOOKUP($B48,DosF2C!$B$7:$E$100,2)</f>
        <v>MOHAI I. / SZVACSEK F.</v>
      </c>
      <c r="D48" s="62">
        <f>VLOOKUP($B48,DosF2C!$B$7:$E$100,3)</f>
        <v>0</v>
      </c>
      <c r="E48" s="10" t="str">
        <f>VLOOKUP($B48,DosF2C!$B$7:$E$100,4)</f>
        <v>HUN</v>
      </c>
    </row>
    <row r="49" spans="1:5" ht="12.75">
      <c r="A49" s="81">
        <f>A47+$A$71</f>
        <v>0.5138888888888886</v>
      </c>
      <c r="B49" s="53">
        <f>3Round!C51</f>
        <v>37</v>
      </c>
      <c r="C49" s="71" t="str">
        <f>VLOOKUP($B49,DosF2C!$B$7:$E$100,2)</f>
        <v>ONG R. / SU D.</v>
      </c>
      <c r="D49" s="54">
        <f>VLOOKUP($B49,DosF2C!$B$7:$E$100,3)</f>
        <v>0</v>
      </c>
      <c r="E49" s="55" t="str">
        <f>VLOOKUP($B49,DosF2C!$B$7:$E$100,4)</f>
        <v>SIN</v>
      </c>
    </row>
    <row r="50" spans="1:5" ht="12.75">
      <c r="A50" s="64"/>
      <c r="B50" s="82">
        <f>3Round!C52</f>
        <v>30</v>
      </c>
      <c r="C50" s="61" t="str">
        <f>VLOOKUP($B50,DosF2C!$B$7:$E$100,2)</f>
        <v>CONTENTE A. / SECO F.</v>
      </c>
      <c r="D50" s="62">
        <f>VLOOKUP($B50,DosF2C!$B$7:$E$100,3)</f>
        <v>0</v>
      </c>
      <c r="E50" s="10" t="str">
        <f>VLOOKUP($B50,DosF2C!$B$7:$E$100,4)</f>
        <v>POR</v>
      </c>
    </row>
    <row r="51" spans="1:5" ht="12.75">
      <c r="A51" s="81">
        <f>A49+$A$71</f>
        <v>0.5187499999999997</v>
      </c>
      <c r="B51" s="53">
        <f>3Round!C53</f>
        <v>21</v>
      </c>
      <c r="C51" s="71" t="str">
        <f>VLOOKUP($B51,DosF2C!$B$7:$E$100,2)</f>
        <v>SMITH S. / BROWN C.</v>
      </c>
      <c r="D51" s="54">
        <f>VLOOKUP($B51,DosF2C!$B$7:$E$100,3)</f>
        <v>0</v>
      </c>
      <c r="E51" s="55" t="str">
        <f>VLOOKUP($B51,DosF2C!$B$7:$E$100,4)</f>
        <v>GBR</v>
      </c>
    </row>
    <row r="52" spans="1:5" ht="12.75">
      <c r="A52" s="64"/>
      <c r="B52" s="82">
        <f>3Round!C54</f>
        <v>45</v>
      </c>
      <c r="C52" s="61" t="str">
        <f>VLOOKUP($B52,DosF2C!$B$7:$E$100,2)</f>
        <v>BONDARENKO Y. / LERNER S.</v>
      </c>
      <c r="D52" s="62">
        <f>VLOOKUP($B52,DosF2C!$B$7:$E$100,3)</f>
        <v>0</v>
      </c>
      <c r="E52" s="10" t="str">
        <f>VLOOKUP($B52,DosF2C!$B$7:$E$100,4)</f>
        <v>UKR</v>
      </c>
    </row>
    <row r="53" spans="1:5" ht="12.75">
      <c r="A53" s="81">
        <f>A51+$A$71</f>
        <v>0.5236111111111108</v>
      </c>
      <c r="B53" s="53">
        <f>3Round!C55</f>
        <v>2</v>
      </c>
      <c r="C53" s="71" t="str">
        <f>VLOOKUP($B53,DosF2C!$B$7:$E$100,2)</f>
        <v>CAMERON P. / FITZGERALD R.</v>
      </c>
      <c r="D53" s="54">
        <f>VLOOKUP($B53,DosF2C!$B$7:$E$100,3)</f>
        <v>0</v>
      </c>
      <c r="E53" s="55" t="str">
        <f>VLOOKUP($B53,DosF2C!$B$7:$E$100,4)</f>
        <v>AUS</v>
      </c>
    </row>
    <row r="54" spans="1:5" ht="12.75">
      <c r="A54" s="64"/>
      <c r="B54" s="82">
        <f>3Round!C56</f>
        <v>11</v>
      </c>
      <c r="C54" s="61" t="str">
        <f>VLOOKUP($B54,DosF2C!$B$7:$E$100,2)</f>
        <v>CRESPI M. / CRESPI P.</v>
      </c>
      <c r="D54" s="62">
        <f>VLOOKUP($B54,DosF2C!$B$7:$E$100,3)</f>
        <v>0</v>
      </c>
      <c r="E54" s="10" t="str">
        <f>VLOOKUP($B54,DosF2C!$B$7:$E$100,4)</f>
        <v>ESP</v>
      </c>
    </row>
    <row r="55" spans="1:5" ht="12.75">
      <c r="A55" s="81">
        <f>A53+$A$71</f>
        <v>0.5284722222222219</v>
      </c>
      <c r="B55" s="53">
        <f>3Round!C57</f>
        <v>26</v>
      </c>
      <c r="C55" s="71" t="str">
        <f>VLOOKUP($B55,DosF2C!$B$7:$E$100,2)</f>
        <v>MARTINI G. / MENOZZI M.</v>
      </c>
      <c r="D55" s="54">
        <f>VLOOKUP($B55,DosF2C!$B$7:$E$100,3)</f>
        <v>0</v>
      </c>
      <c r="E55" s="55" t="str">
        <f>VLOOKUP($B55,DosF2C!$B$7:$E$100,4)</f>
        <v>ITA</v>
      </c>
    </row>
    <row r="56" spans="1:5" ht="12.75">
      <c r="A56" s="64"/>
      <c r="B56" s="82">
        <v>49</v>
      </c>
      <c r="C56" s="61" t="str">
        <f>VLOOKUP($B56,DosF2C!$B$7:$E$100,2)</f>
        <v>ASCHER A. / ASCHER L.</v>
      </c>
      <c r="D56" s="62">
        <f>VLOOKUP($B56,DosF2C!$B$7:$E$100,3)</f>
        <v>0</v>
      </c>
      <c r="E56" s="10" t="str">
        <f>VLOOKUP($B56,DosF2C!$B$7:$E$100,4)</f>
        <v>USA</v>
      </c>
    </row>
    <row r="57" spans="1:5" ht="12.75">
      <c r="A57" s="81">
        <f>A55+$A$71</f>
        <v>0.533333333333333</v>
      </c>
      <c r="B57" s="53">
        <v>25</v>
      </c>
      <c r="C57" s="71" t="str">
        <f>VLOOKUP($B57,DosF2C!$B$7:$E$100,2)</f>
        <v>MAGLI M./  PIRAZZINI E.</v>
      </c>
      <c r="D57" s="54">
        <f>VLOOKUP($B57,DosF2C!$B$7:$E$100,3)</f>
        <v>0</v>
      </c>
      <c r="E57" s="55" t="str">
        <f>VLOOKUP($B57,DosF2C!$B$7:$E$100,4)</f>
        <v>ITA</v>
      </c>
    </row>
    <row r="58" spans="1:5" ht="12.75">
      <c r="A58" s="64"/>
      <c r="B58" s="82"/>
      <c r="C58" s="77"/>
      <c r="D58" s="85"/>
      <c r="E58" s="78"/>
    </row>
    <row r="59" spans="1:5" ht="11.25">
      <c r="A59"/>
      <c r="B59"/>
      <c r="C59"/>
      <c r="D59"/>
      <c r="E59"/>
    </row>
    <row r="60" spans="1:5" ht="11.25">
      <c r="A60"/>
      <c r="B60"/>
      <c r="C60"/>
      <c r="D60"/>
      <c r="E60"/>
    </row>
    <row r="61" spans="1:5" ht="11.25">
      <c r="A61"/>
      <c r="B61"/>
      <c r="C61"/>
      <c r="D61"/>
      <c r="E61"/>
    </row>
    <row r="62" spans="1:5" ht="11.25">
      <c r="A62"/>
      <c r="B62"/>
      <c r="C62"/>
      <c r="D62"/>
      <c r="E62"/>
    </row>
    <row r="63" spans="1:5" ht="11.25">
      <c r="A63"/>
      <c r="B63"/>
      <c r="C63"/>
      <c r="D63"/>
      <c r="E63"/>
    </row>
    <row r="64" spans="1:5" ht="11.25">
      <c r="A64"/>
      <c r="B64"/>
      <c r="C64"/>
      <c r="D64"/>
      <c r="E64"/>
    </row>
    <row r="65" spans="1:5" ht="11.25">
      <c r="A65"/>
      <c r="B65"/>
      <c r="C65"/>
      <c r="D65"/>
      <c r="E65"/>
    </row>
    <row r="66" spans="1:5" ht="11.25">
      <c r="A66"/>
      <c r="B66"/>
      <c r="C66"/>
      <c r="D66"/>
      <c r="E66"/>
    </row>
    <row r="67" spans="1:5" ht="11.25">
      <c r="A67"/>
      <c r="B67"/>
      <c r="C67"/>
      <c r="D67"/>
      <c r="E67"/>
    </row>
    <row r="68" spans="1:5" ht="11.25">
      <c r="A68"/>
      <c r="B68"/>
      <c r="C68"/>
      <c r="D68"/>
      <c r="E68"/>
    </row>
    <row r="71" spans="1:2" ht="12.75">
      <c r="A71" s="69">
        <v>0.004861111111111111</v>
      </c>
      <c r="B71" s="70" t="s">
        <v>141</v>
      </c>
    </row>
  </sheetData>
  <printOptions/>
  <pageMargins left="1.968503937007874" right="0.5905511811023623" top="0.3937007874015748" bottom="0.3937007874015748" header="0.5118110236220472" footer="0.5118110236220472"/>
  <pageSetup fitToHeight="1" fitToWidth="1" horizontalDpi="300" verticalDpi="300" orientation="portrait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workbookViewId="0" topLeftCell="A1">
      <selection activeCell="A49" sqref="A49"/>
    </sheetView>
  </sheetViews>
  <sheetFormatPr defaultColWidth="9.140625" defaultRowHeight="12.75"/>
  <cols>
    <col min="1" max="1" width="8.8515625" style="2" customWidth="1"/>
    <col min="2" max="2" width="5.7109375" style="41" customWidth="1"/>
    <col min="3" max="3" width="34.00390625" style="42" customWidth="1"/>
    <col min="4" max="4" width="7.57421875" style="43" customWidth="1"/>
    <col min="5" max="5" width="6.28125" style="68" customWidth="1"/>
    <col min="6" max="16384" width="11.421875" style="0" customWidth="1"/>
  </cols>
  <sheetData>
    <row r="1" spans="2:7" ht="3" customHeight="1">
      <c r="B1"/>
      <c r="C1" s="28"/>
      <c r="D1" s="33"/>
      <c r="E1" s="34"/>
      <c r="F1" s="35"/>
      <c r="G1" s="36"/>
    </row>
    <row r="2" spans="2:5" ht="13.5">
      <c r="B2" s="28"/>
      <c r="C2" s="37" t="s">
        <v>82</v>
      </c>
      <c r="D2" s="38"/>
      <c r="E2" s="2"/>
    </row>
    <row r="3" spans="2:5" ht="13.5">
      <c r="B3" s="28"/>
      <c r="C3" s="3"/>
      <c r="D3" s="38"/>
      <c r="E3" s="2"/>
    </row>
    <row r="4" spans="1:5" ht="13.5">
      <c r="A4"/>
      <c r="B4"/>
      <c r="C4" s="325" t="str">
        <f>'Semi-Finals'!D5</f>
        <v>Tuesday 18th of July</v>
      </c>
      <c r="D4" s="223"/>
      <c r="E4" s="3"/>
    </row>
    <row r="5" spans="3:5" ht="12.75">
      <c r="C5" s="326" t="s">
        <v>146</v>
      </c>
      <c r="E5" s="44"/>
    </row>
    <row r="6" spans="3:5" ht="42" customHeight="1">
      <c r="C6" s="80"/>
      <c r="E6" s="44"/>
    </row>
    <row r="7" spans="2:5" ht="13.5">
      <c r="B7" s="46"/>
      <c r="C7" s="47" t="s">
        <v>154</v>
      </c>
      <c r="D7" s="224"/>
      <c r="E7"/>
    </row>
    <row r="8" spans="1:5" ht="13.5">
      <c r="A8" s="49"/>
      <c r="B8" s="46"/>
      <c r="C8" s="50"/>
      <c r="D8" s="38"/>
      <c r="E8" s="48"/>
    </row>
    <row r="9" spans="1:5" ht="12.75">
      <c r="A9" s="81">
        <v>0.375</v>
      </c>
      <c r="B9" s="53">
        <f>'Semi-Finals'!$C8</f>
        <v>15</v>
      </c>
      <c r="C9" s="71" t="str">
        <f>VLOOKUP($B9,DosF2C!$B$7:$E$100,2)</f>
        <v>SURUGUE P. / SURUGUE G.</v>
      </c>
      <c r="D9" s="54">
        <f>VLOOKUP($B9,DosF2C!$B$7:$E$100,3)</f>
        <v>0</v>
      </c>
      <c r="E9" s="55" t="str">
        <f>VLOOKUP($B9,DosF2C!$B$7:$E$100,4)</f>
        <v>FRA</v>
      </c>
    </row>
    <row r="10" spans="1:5" ht="12.75">
      <c r="A10" s="64"/>
      <c r="B10" s="82">
        <f>'Semi-Finals'!$C9</f>
        <v>34</v>
      </c>
      <c r="C10" s="61" t="str">
        <f>VLOOKUP($B10,DosF2C!$B$7:$E$100,2)</f>
        <v>TITOV V. / JOUGOV V.</v>
      </c>
      <c r="D10" s="62">
        <f>VLOOKUP($B10,DosF2C!$B$7:$E$100,3)</f>
        <v>0</v>
      </c>
      <c r="E10" s="10" t="str">
        <f>VLOOKUP($B10,DosF2C!$B$7:$E$100,4)</f>
        <v>RUS</v>
      </c>
    </row>
    <row r="11" spans="1:5" ht="12.75">
      <c r="A11" s="81">
        <f>A9+$A$52</f>
        <v>0.3798611111111111</v>
      </c>
      <c r="B11" s="53">
        <f>'Semi-Finals'!$C10</f>
        <v>24</v>
      </c>
      <c r="C11" s="71" t="str">
        <f>VLOOKUP($B11,DosF2C!$B$7:$E$100,2)</f>
        <v>PENNISI R. / ROSSI A.</v>
      </c>
      <c r="D11" s="54">
        <f>VLOOKUP($B11,DosF2C!$B$7:$E$100,3)</f>
        <v>0</v>
      </c>
      <c r="E11" s="55" t="str">
        <f>VLOOKUP($B11,DosF2C!$B$7:$E$100,4)</f>
        <v>ITA</v>
      </c>
    </row>
    <row r="12" spans="1:5" ht="12.75">
      <c r="A12" s="64"/>
      <c r="B12" s="82">
        <f>'Semi-Finals'!$C11</f>
        <v>1</v>
      </c>
      <c r="C12" s="61" t="str">
        <f>VLOOKUP($B12,DosF2C!$B$7:$E$100,2)</f>
        <v>ANDREEV S. / SOBKO S.</v>
      </c>
      <c r="D12" s="62" t="str">
        <f>VLOOKUP($B12,DosF2C!$B$7:$E$100,3)</f>
        <v>W/CH</v>
      </c>
      <c r="E12" s="10" t="str">
        <f>VLOOKUP($B12,DosF2C!$B$7:$E$100,4)</f>
        <v>RUS</v>
      </c>
    </row>
    <row r="13" spans="1:5" ht="12.75">
      <c r="A13" s="81">
        <f>A11+$A$52</f>
        <v>0.3847222222222222</v>
      </c>
      <c r="B13" s="53">
        <f>'Semi-Finals'!$C12</f>
        <v>25</v>
      </c>
      <c r="C13" s="71" t="str">
        <f>VLOOKUP($B13,DosF2C!$B$7:$E$100,2)</f>
        <v>MAGLI M./  PIRAZZINI E.</v>
      </c>
      <c r="D13" s="54">
        <f>VLOOKUP($B13,DosF2C!$B$7:$E$100,3)</f>
        <v>0</v>
      </c>
      <c r="E13" s="55" t="str">
        <f>VLOOKUP($B13,DosF2C!$B$7:$E$100,4)</f>
        <v>ITA</v>
      </c>
    </row>
    <row r="14" spans="1:5" ht="12.75">
      <c r="A14" s="64"/>
      <c r="B14" s="82">
        <f>'Semi-Finals'!$C13</f>
        <v>19</v>
      </c>
      <c r="C14" s="61" t="str">
        <f>VLOOKUP($B14,DosF2C!$B$7:$E$100,2)</f>
        <v>ROSS M. / TURNER B.</v>
      </c>
      <c r="D14" s="62">
        <f>VLOOKUP($B14,DosF2C!$B$7:$E$100,3)</f>
        <v>0</v>
      </c>
      <c r="E14" s="10" t="str">
        <f>VLOOKUP($B14,DosF2C!$B$7:$E$100,4)</f>
        <v>GBR</v>
      </c>
    </row>
    <row r="15" spans="1:5" ht="12.75">
      <c r="A15" s="81">
        <f>A13+$A$52</f>
        <v>0.3895833333333333</v>
      </c>
      <c r="B15" s="53">
        <f>'Semi-Finals'!$C14</f>
        <v>31</v>
      </c>
      <c r="C15" s="71" t="str">
        <f>VLOOKUP($B15,DosF2C!$B$7:$E$100,2)</f>
        <v>MORTINHO A. / GOULAO J.</v>
      </c>
      <c r="D15" s="54">
        <f>VLOOKUP($B15,DosF2C!$B$7:$E$100,3)</f>
        <v>0</v>
      </c>
      <c r="E15" s="55" t="str">
        <f>VLOOKUP($B15,DosF2C!$B$7:$E$100,4)</f>
        <v>POR</v>
      </c>
    </row>
    <row r="16" spans="1:5" ht="12.75">
      <c r="A16" s="64"/>
      <c r="B16" s="82">
        <f>'Semi-Finals'!$C15</f>
        <v>26</v>
      </c>
      <c r="C16" s="61" t="str">
        <f>VLOOKUP($B16,DosF2C!$B$7:$E$100,2)</f>
        <v>MARTINI G. / MENOZZI M.</v>
      </c>
      <c r="D16" s="62">
        <f>VLOOKUP($B16,DosF2C!$B$7:$E$100,3)</f>
        <v>0</v>
      </c>
      <c r="E16" s="10" t="str">
        <f>VLOOKUP($B16,DosF2C!$B$7:$E$100,4)</f>
        <v>ITA</v>
      </c>
    </row>
    <row r="17" spans="1:5" ht="12.75">
      <c r="A17" s="81">
        <f>A15+$A$52</f>
        <v>0.3944444444444444</v>
      </c>
      <c r="B17" s="53">
        <f>'Semi-Finals'!$C16</f>
        <v>45</v>
      </c>
      <c r="C17" s="71" t="str">
        <f>VLOOKUP($B17,DosF2C!$B$7:$E$100,2)</f>
        <v>BONDARENKO Y. / LERNER S.</v>
      </c>
      <c r="D17" s="54">
        <f>VLOOKUP($B17,DosF2C!$B$7:$E$100,3)</f>
        <v>0</v>
      </c>
      <c r="E17" s="55" t="str">
        <f>VLOOKUP($B17,DosF2C!$B$7:$E$100,4)</f>
        <v>UKR</v>
      </c>
    </row>
    <row r="18" spans="1:5" ht="12.75">
      <c r="A18" s="64"/>
      <c r="B18" s="82">
        <f>'Semi-Finals'!$C17</f>
        <v>13</v>
      </c>
      <c r="C18" s="61" t="str">
        <f>VLOOKUP($B18,DosF2C!$B$7:$E$100,2)</f>
        <v>MARET J. / PERRET J.P.</v>
      </c>
      <c r="D18" s="62">
        <f>VLOOKUP($B18,DosF2C!$B$7:$E$100,3)</f>
        <v>0</v>
      </c>
      <c r="E18" s="10" t="str">
        <f>VLOOKUP($B18,DosF2C!$B$7:$E$100,4)</f>
        <v>FRA</v>
      </c>
    </row>
    <row r="19" spans="1:5" ht="12.75">
      <c r="A19" s="81">
        <f>A17+$A$52</f>
        <v>0.39930555555555547</v>
      </c>
      <c r="B19" s="53">
        <f>'Semi-Finals'!$C18</f>
        <v>32</v>
      </c>
      <c r="C19" s="71" t="str">
        <f>VLOOKUP($B19,DosF2C!$B$7:$E$100,2)</f>
        <v>CHABACHOV J. / MOSKALEEV S.</v>
      </c>
      <c r="D19" s="54">
        <f>VLOOKUP($B19,DosF2C!$B$7:$E$100,3)</f>
        <v>0</v>
      </c>
      <c r="E19" s="55" t="str">
        <f>VLOOKUP($B19,DosF2C!$B$7:$E$100,4)</f>
        <v>RUS</v>
      </c>
    </row>
    <row r="20" spans="1:5" ht="12.75">
      <c r="A20" s="64"/>
      <c r="B20" s="83">
        <f>'Semi-Finals'!$C19</f>
        <v>5</v>
      </c>
      <c r="C20" s="84" t="str">
        <f>VLOOKUP($B20,DosF2C!$B$7:$E$100,2)</f>
        <v>FISCHER J. / STRANIAK H.</v>
      </c>
      <c r="D20" s="85">
        <f>VLOOKUP($B20,DosF2C!$B$7:$E$100,3)</f>
        <v>0</v>
      </c>
      <c r="E20" s="78" t="str">
        <f>VLOOKUP($B20,DosF2C!$B$7:$E$100,4)</f>
        <v>AUT</v>
      </c>
    </row>
    <row r="21" spans="1:5" ht="6" customHeight="1">
      <c r="A21"/>
      <c r="B21"/>
      <c r="C21"/>
      <c r="D21" s="224"/>
      <c r="E21"/>
    </row>
    <row r="22" spans="1:5" ht="6" customHeight="1">
      <c r="A22"/>
      <c r="B22"/>
      <c r="C22"/>
      <c r="D22" s="224"/>
      <c r="E22"/>
    </row>
    <row r="23" spans="1:5" ht="6" customHeight="1">
      <c r="A23"/>
      <c r="B23"/>
      <c r="C23"/>
      <c r="D23" s="224"/>
      <c r="E23"/>
    </row>
    <row r="24" spans="1:5" ht="12.75">
      <c r="A24" s="81">
        <f>A19+$A$52</f>
        <v>0.40416666666666656</v>
      </c>
      <c r="B24" s="53">
        <v>14</v>
      </c>
      <c r="C24" s="71" t="str">
        <f>VLOOKUP($B24,DosF2C!$B$7:$E$100,2)</f>
        <v>DELOR B. / CONSTANT P.</v>
      </c>
      <c r="D24" s="54">
        <f>VLOOKUP($B24,DosF2C!$B$7:$E$100,3)</f>
        <v>0</v>
      </c>
      <c r="E24" s="55" t="str">
        <f>VLOOKUP($B24,DosF2C!$B$7:$E$100,4)</f>
        <v>FRA</v>
      </c>
    </row>
    <row r="25" spans="1:5" ht="12.75">
      <c r="A25" s="88" t="s">
        <v>155</v>
      </c>
      <c r="B25" s="82">
        <v>47</v>
      </c>
      <c r="C25" s="61" t="str">
        <f>VLOOKUP($B25,DosF2C!$B$7:$E$100,2)</f>
        <v>ZHURAVLYOV V. / SOSNOVSKIY V.</v>
      </c>
      <c r="D25" s="62">
        <f>VLOOKUP($B25,DosF2C!$B$7:$E$100,3)</f>
        <v>0</v>
      </c>
      <c r="E25" s="10" t="str">
        <f>VLOOKUP($B25,DosF2C!$B$7:$E$100,4)</f>
        <v>UKR</v>
      </c>
    </row>
    <row r="26" spans="1:5" ht="12.75">
      <c r="A26" s="81">
        <f>A24+$A$52</f>
        <v>0.40902777777777766</v>
      </c>
      <c r="B26" s="53">
        <v>49</v>
      </c>
      <c r="C26" s="71" t="str">
        <f>VLOOKUP($B26,DosF2C!$B$7:$E$100,2)</f>
        <v>ASCHER A. / ASCHER L.</v>
      </c>
      <c r="D26" s="54">
        <f>VLOOKUP($B26,DosF2C!$B$7:$E$100,3)</f>
        <v>0</v>
      </c>
      <c r="E26" s="55" t="str">
        <f>VLOOKUP($B26,DosF2C!$B$7:$E$100,4)</f>
        <v>USA</v>
      </c>
    </row>
    <row r="27" spans="1:5" ht="12.75">
      <c r="A27" s="88" t="s">
        <v>155</v>
      </c>
      <c r="B27" s="82">
        <v>46</v>
      </c>
      <c r="C27" s="77" t="str">
        <f>VLOOKUP($B27,DosF2C!$B$7:$E$100,2)</f>
        <v>BEZMERTNY Y. / FULITKA V.</v>
      </c>
      <c r="D27" s="85">
        <f>VLOOKUP($B27,DosF2C!$B$7:$E$100,3)</f>
        <v>0</v>
      </c>
      <c r="E27" s="78" t="str">
        <f>VLOOKUP($B27,DosF2C!$B$7:$E$100,4)</f>
        <v>UKR</v>
      </c>
    </row>
    <row r="29" spans="3:5" ht="54" customHeight="1">
      <c r="C29" s="80"/>
      <c r="E29" s="44"/>
    </row>
    <row r="30" spans="2:5" ht="13.5">
      <c r="B30" s="46"/>
      <c r="C30" s="47" t="s">
        <v>156</v>
      </c>
      <c r="D30" s="224"/>
      <c r="E30"/>
    </row>
    <row r="31" spans="1:5" ht="13.5">
      <c r="A31" s="49"/>
      <c r="B31" s="46"/>
      <c r="C31" s="50"/>
      <c r="D31" s="38"/>
      <c r="E31" s="48"/>
    </row>
    <row r="32" spans="1:5" ht="12.75">
      <c r="A32" s="81">
        <v>0.5208333333333334</v>
      </c>
      <c r="B32" s="53">
        <f>'Semi-Finals'!$C31</f>
        <v>31</v>
      </c>
      <c r="C32" s="71" t="str">
        <f>VLOOKUP($B32,DosF2C!$B$7:$E$100,2)</f>
        <v>MORTINHO A. / GOULAO J.</v>
      </c>
      <c r="D32" s="54">
        <f>VLOOKUP($B32,DosF2C!$B$7:$E$100,3)</f>
        <v>0</v>
      </c>
      <c r="E32" s="55" t="str">
        <f>VLOOKUP($B32,DosF2C!$B$7:$E$100,4)</f>
        <v>POR</v>
      </c>
    </row>
    <row r="33" spans="1:5" ht="12.75">
      <c r="A33" s="64"/>
      <c r="B33" s="82">
        <f>'Semi-Finals'!$C32</f>
        <v>1</v>
      </c>
      <c r="C33" s="61" t="str">
        <f>VLOOKUP($B33,DosF2C!$B$7:$E$100,2)</f>
        <v>ANDREEV S. / SOBKO S.</v>
      </c>
      <c r="D33" s="62" t="str">
        <f>VLOOKUP($B33,DosF2C!$B$7:$E$100,3)</f>
        <v>W/CH</v>
      </c>
      <c r="E33" s="10" t="str">
        <f>VLOOKUP($B33,DosF2C!$B$7:$E$100,4)</f>
        <v>RUS</v>
      </c>
    </row>
    <row r="34" spans="1:5" ht="12.75">
      <c r="A34" s="81">
        <f>A32+$A$52</f>
        <v>0.5256944444444445</v>
      </c>
      <c r="B34" s="53">
        <f>'Semi-Finals'!$C33</f>
        <v>15</v>
      </c>
      <c r="C34" s="71" t="str">
        <f>VLOOKUP($B34,DosF2C!$B$7:$E$100,2)</f>
        <v>SURUGUE P. / SURUGUE G.</v>
      </c>
      <c r="D34" s="54">
        <f>VLOOKUP($B34,DosF2C!$B$7:$E$100,3)</f>
        <v>0</v>
      </c>
      <c r="E34" s="55" t="str">
        <f>VLOOKUP($B34,DosF2C!$B$7:$E$100,4)</f>
        <v>FRA</v>
      </c>
    </row>
    <row r="35" spans="1:5" ht="12.75">
      <c r="A35" s="64"/>
      <c r="B35" s="82">
        <f>'Semi-Finals'!$C34</f>
        <v>13</v>
      </c>
      <c r="C35" s="61" t="str">
        <f>VLOOKUP($B35,DosF2C!$B$7:$E$100,2)</f>
        <v>MARET J. / PERRET J.P.</v>
      </c>
      <c r="D35" s="62">
        <f>VLOOKUP($B35,DosF2C!$B$7:$E$100,3)</f>
        <v>0</v>
      </c>
      <c r="E35" s="10" t="str">
        <f>VLOOKUP($B35,DosF2C!$B$7:$E$100,4)</f>
        <v>FRA</v>
      </c>
    </row>
    <row r="36" spans="1:5" ht="12.75">
      <c r="A36" s="81">
        <f>A34+$A$52</f>
        <v>0.5305555555555556</v>
      </c>
      <c r="B36" s="53">
        <f>'Semi-Finals'!$C35</f>
        <v>25</v>
      </c>
      <c r="C36" s="71" t="str">
        <f>VLOOKUP($B36,DosF2C!$B$7:$E$100,2)</f>
        <v>MAGLI M./  PIRAZZINI E.</v>
      </c>
      <c r="D36" s="54">
        <f>VLOOKUP($B36,DosF2C!$B$7:$E$100,3)</f>
        <v>0</v>
      </c>
      <c r="E36" s="55" t="str">
        <f>VLOOKUP($B36,DosF2C!$B$7:$E$100,4)</f>
        <v>ITA</v>
      </c>
    </row>
    <row r="37" spans="1:5" ht="12.75">
      <c r="A37" s="64"/>
      <c r="B37" s="82">
        <f>'Semi-Finals'!$C36</f>
        <v>45</v>
      </c>
      <c r="C37" s="61" t="str">
        <f>VLOOKUP($B37,DosF2C!$B$7:$E$100,2)</f>
        <v>BONDARENKO Y. / LERNER S.</v>
      </c>
      <c r="D37" s="62">
        <f>VLOOKUP($B37,DosF2C!$B$7:$E$100,3)</f>
        <v>0</v>
      </c>
      <c r="E37" s="10" t="str">
        <f>VLOOKUP($B37,DosF2C!$B$7:$E$100,4)</f>
        <v>UKR</v>
      </c>
    </row>
    <row r="38" spans="1:5" ht="12.75">
      <c r="A38" s="81">
        <f>A36+$A$52</f>
        <v>0.5354166666666667</v>
      </c>
      <c r="B38" s="53">
        <f>'Semi-Finals'!$C37</f>
        <v>26</v>
      </c>
      <c r="C38" s="71" t="str">
        <f>VLOOKUP($B38,DosF2C!$B$7:$E$100,2)</f>
        <v>MARTINI G. / MENOZZI M.</v>
      </c>
      <c r="D38" s="54">
        <f>VLOOKUP($B38,DosF2C!$B$7:$E$100,3)</f>
        <v>0</v>
      </c>
      <c r="E38" s="55" t="str">
        <f>VLOOKUP($B38,DosF2C!$B$7:$E$100,4)</f>
        <v>ITA</v>
      </c>
    </row>
    <row r="39" spans="1:5" ht="12.75">
      <c r="A39" s="64"/>
      <c r="B39" s="82">
        <f>'Semi-Finals'!$C38</f>
        <v>32</v>
      </c>
      <c r="C39" s="61" t="str">
        <f>VLOOKUP($B39,DosF2C!$B$7:$E$100,2)</f>
        <v>CHABACHOV J. / MOSKALEEV S.</v>
      </c>
      <c r="D39" s="62">
        <f>VLOOKUP($B39,DosF2C!$B$7:$E$100,3)</f>
        <v>0</v>
      </c>
      <c r="E39" s="10" t="str">
        <f>VLOOKUP($B39,DosF2C!$B$7:$E$100,4)</f>
        <v>RUS</v>
      </c>
    </row>
    <row r="40" spans="1:5" ht="12.75">
      <c r="A40" s="81">
        <f>A38+$A$52</f>
        <v>0.5402777777777777</v>
      </c>
      <c r="B40" s="53">
        <f>'Semi-Finals'!$C39</f>
        <v>19</v>
      </c>
      <c r="C40" s="71" t="str">
        <f>VLOOKUP($B40,DosF2C!$B$7:$E$100,2)</f>
        <v>ROSS M. / TURNER B.</v>
      </c>
      <c r="D40" s="54">
        <f>VLOOKUP($B40,DosF2C!$B$7:$E$100,3)</f>
        <v>0</v>
      </c>
      <c r="E40" s="55" t="str">
        <f>VLOOKUP($B40,DosF2C!$B$7:$E$100,4)</f>
        <v>GBR</v>
      </c>
    </row>
    <row r="41" spans="1:5" ht="12.75">
      <c r="A41" s="64"/>
      <c r="B41" s="82">
        <f>'Semi-Finals'!$C40</f>
        <v>5</v>
      </c>
      <c r="C41" s="61" t="str">
        <f>VLOOKUP($B41,DosF2C!$B$7:$E$100,2)</f>
        <v>FISCHER J. / STRANIAK H.</v>
      </c>
      <c r="D41" s="62">
        <f>VLOOKUP($B41,DosF2C!$B$7:$E$100,3)</f>
        <v>0</v>
      </c>
      <c r="E41" s="10" t="str">
        <f>VLOOKUP($B41,DosF2C!$B$7:$E$100,4)</f>
        <v>AUT</v>
      </c>
    </row>
    <row r="42" spans="1:5" ht="12.75">
      <c r="A42" s="81">
        <f>A40+$A$52</f>
        <v>0.5451388888888888</v>
      </c>
      <c r="B42" s="53">
        <f>'Semi-Finals'!$C41</f>
        <v>24</v>
      </c>
      <c r="C42" s="71" t="str">
        <f>VLOOKUP($B42,DosF2C!$B$7:$E$100,2)</f>
        <v>PENNISI R. / ROSSI A.</v>
      </c>
      <c r="D42" s="54">
        <f>VLOOKUP($B42,DosF2C!$B$7:$E$100,3)</f>
        <v>0</v>
      </c>
      <c r="E42" s="55" t="str">
        <f>VLOOKUP($B42,DosF2C!$B$7:$E$100,4)</f>
        <v>ITA</v>
      </c>
    </row>
    <row r="43" spans="1:5" ht="12.75">
      <c r="A43" s="64"/>
      <c r="B43" s="82">
        <f>'Semi-Finals'!$C42</f>
        <v>34</v>
      </c>
      <c r="C43" s="84" t="str">
        <f>VLOOKUP($B43,DosF2C!$B$7:$E$100,2)</f>
        <v>TITOV V. / JOUGOV V.</v>
      </c>
      <c r="D43" s="85">
        <f>VLOOKUP($B43,DosF2C!$B$7:$E$100,3)</f>
        <v>0</v>
      </c>
      <c r="E43" s="78" t="str">
        <f>VLOOKUP($B43,DosF2C!$B$7:$E$100,4)</f>
        <v>RUS</v>
      </c>
    </row>
    <row r="44" spans="1:5" ht="6" customHeight="1">
      <c r="A44"/>
      <c r="B44"/>
      <c r="C44"/>
      <c r="D44" s="224"/>
      <c r="E44"/>
    </row>
    <row r="45" spans="1:5" ht="6" customHeight="1">
      <c r="A45"/>
      <c r="B45"/>
      <c r="C45"/>
      <c r="D45" s="224"/>
      <c r="E45"/>
    </row>
    <row r="46" spans="1:5" ht="6" customHeight="1">
      <c r="A46"/>
      <c r="B46"/>
      <c r="C46"/>
      <c r="D46" s="224"/>
      <c r="E46"/>
    </row>
    <row r="47" spans="1:5" ht="12.75">
      <c r="A47" s="81">
        <f>A42+$A$52</f>
        <v>0.5499999999999999</v>
      </c>
      <c r="B47" s="53">
        <v>14</v>
      </c>
      <c r="C47" s="71" t="str">
        <f>VLOOKUP($B47,DosF2C!$B$7:$E$100,2)</f>
        <v>DELOR B. / CONSTANT P.</v>
      </c>
      <c r="D47" s="54">
        <f>VLOOKUP($B47,DosF2C!$B$7:$E$100,3)</f>
        <v>0</v>
      </c>
      <c r="E47" s="55" t="str">
        <f>VLOOKUP($B47,DosF2C!$B$7:$E$100,4)</f>
        <v>FRA</v>
      </c>
    </row>
    <row r="48" spans="1:5" ht="12.75">
      <c r="A48" s="88" t="s">
        <v>155</v>
      </c>
      <c r="B48" s="82">
        <v>47</v>
      </c>
      <c r="C48" s="61" t="str">
        <f>VLOOKUP($B48,DosF2C!$B$7:$E$100,2)</f>
        <v>ZHURAVLYOV V. / SOSNOVSKIY V.</v>
      </c>
      <c r="D48" s="62">
        <f>VLOOKUP($B48,DosF2C!$B$7:$E$100,3)</f>
        <v>0</v>
      </c>
      <c r="E48" s="10" t="str">
        <f>VLOOKUP($B48,DosF2C!$B$7:$E$100,4)</f>
        <v>UKR</v>
      </c>
    </row>
    <row r="49" spans="1:5" ht="12.75">
      <c r="A49" s="81">
        <f>A47+$A$52</f>
        <v>0.554861111111111</v>
      </c>
      <c r="B49" s="53">
        <v>49</v>
      </c>
      <c r="C49" s="71" t="str">
        <f>VLOOKUP($B49,DosF2C!$B$7:$E$100,2)</f>
        <v>ASCHER A. / ASCHER L.</v>
      </c>
      <c r="D49" s="54">
        <f>VLOOKUP($B49,DosF2C!$B$7:$E$100,3)</f>
        <v>0</v>
      </c>
      <c r="E49" s="55" t="str">
        <f>VLOOKUP($B49,DosF2C!$B$7:$E$100,4)</f>
        <v>USA</v>
      </c>
    </row>
    <row r="50" spans="1:5" ht="12.75">
      <c r="A50" s="88" t="s">
        <v>155</v>
      </c>
      <c r="B50" s="82">
        <v>46</v>
      </c>
      <c r="C50" s="77" t="str">
        <f>VLOOKUP($B50,DosF2C!$B$7:$E$100,2)</f>
        <v>BEZMERTNY Y. / FULITKA V.</v>
      </c>
      <c r="D50" s="85">
        <f>VLOOKUP($B50,DosF2C!$B$7:$E$100,3)</f>
        <v>0</v>
      </c>
      <c r="E50" s="78" t="str">
        <f>VLOOKUP($B50,DosF2C!$B$7:$E$100,4)</f>
        <v>UKR</v>
      </c>
    </row>
    <row r="51" spans="1:5" ht="12.75">
      <c r="A51" s="89"/>
      <c r="C51" s="86"/>
      <c r="D51" s="34"/>
      <c r="E51" s="87"/>
    </row>
    <row r="52" spans="1:2" ht="12.75">
      <c r="A52" s="69">
        <v>0.004861111111111111</v>
      </c>
      <c r="B52" s="70" t="s">
        <v>141</v>
      </c>
    </row>
  </sheetData>
  <printOptions/>
  <pageMargins left="1.3779527559055118" right="0.5905511811023623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30"/>
  <sheetViews>
    <sheetView workbookViewId="0" topLeftCell="A1">
      <selection activeCell="J7" sqref="J7"/>
    </sheetView>
  </sheetViews>
  <sheetFormatPr defaultColWidth="9.140625" defaultRowHeight="12.75"/>
  <cols>
    <col min="1" max="1" width="6.140625" style="238" customWidth="1"/>
    <col min="2" max="2" width="5.57421875" style="150" customWidth="1"/>
    <col min="3" max="3" width="23.00390625" style="0" customWidth="1"/>
    <col min="4" max="16384" width="11.421875" style="0" customWidth="1"/>
  </cols>
  <sheetData>
    <row r="1" spans="1:3" ht="11.25">
      <c r="A1" s="238">
        <f>RésF2CeInd!$B14</f>
        <v>1</v>
      </c>
      <c r="B1" s="150">
        <f>RésF2CeInd!$A14</f>
        <v>6</v>
      </c>
      <c r="C1" s="150" t="str">
        <f>RésF2CeInd!$C14</f>
        <v>ANDREEV S. / SOBKO S.</v>
      </c>
    </row>
    <row r="2" spans="1:3" ht="11.25">
      <c r="A2" s="238">
        <f>RésF2CeInd!$B30</f>
        <v>2</v>
      </c>
      <c r="B2" s="150">
        <f>RésF2CeInd!$A30</f>
        <v>22</v>
      </c>
      <c r="C2" s="150" t="str">
        <f>RésF2CeInd!$C30</f>
        <v>CAMERON P. / FITZGERALD R.</v>
      </c>
    </row>
    <row r="3" spans="1:3" ht="11.25">
      <c r="A3" s="238">
        <f>RésF2CeInd!$B36</f>
        <v>3</v>
      </c>
      <c r="B3" s="150">
        <f>RésF2CeInd!$A36</f>
        <v>28</v>
      </c>
      <c r="C3" s="150" t="str">
        <f>RésF2CeInd!$C36</f>
        <v>JUSTIC R. / OWEN R.</v>
      </c>
    </row>
    <row r="4" spans="1:3" ht="11.25">
      <c r="A4" s="238">
        <f>RésF2CeInd!$B43</f>
        <v>4</v>
      </c>
      <c r="B4" s="150">
        <f>RésF2CeInd!$A43</f>
        <v>35</v>
      </c>
      <c r="C4" s="150" t="str">
        <f>RésF2CeInd!$C43</f>
        <v>WILSON G. / STEIN P.</v>
      </c>
    </row>
    <row r="5" spans="1:3" ht="11.25">
      <c r="A5" s="238">
        <f>RésF2CeInd!$B13</f>
        <v>5</v>
      </c>
      <c r="B5" s="150">
        <f>RésF2CeInd!$A13</f>
        <v>5</v>
      </c>
      <c r="C5" s="150" t="str">
        <f>RésF2CeInd!$C13</f>
        <v>FISCHER J. / STRANIAK H.</v>
      </c>
    </row>
    <row r="6" spans="1:3" ht="11.25">
      <c r="A6" s="238">
        <f>RésF2CeInd!$B44</f>
        <v>6</v>
      </c>
      <c r="B6" s="150">
        <f>RésF2CeInd!$A44</f>
        <v>36</v>
      </c>
      <c r="C6" s="150" t="str">
        <f>RésF2CeInd!$C44</f>
        <v>NITSCHE H. / NITSCHE H.</v>
      </c>
    </row>
    <row r="7" spans="1:3" ht="11.25">
      <c r="A7" s="238">
        <f>RésF2CeInd!$B26</f>
        <v>7</v>
      </c>
      <c r="B7" s="150">
        <f>RésF2CeInd!$A26</f>
        <v>18</v>
      </c>
      <c r="C7" s="150" t="str">
        <f>RésF2CeInd!$C26</f>
        <v>DESSAUCY L. / DESSAUCY J. </v>
      </c>
    </row>
    <row r="8" spans="1:3" ht="11.25">
      <c r="A8" s="238">
        <f>RésF2CeInd!$B47</f>
        <v>8</v>
      </c>
      <c r="B8" s="150">
        <f>RésF2CeInd!$A47</f>
        <v>39</v>
      </c>
      <c r="C8" s="150" t="str">
        <f>RésF2CeInd!$C47</f>
        <v>FAIREY R. / FAIREY B. </v>
      </c>
    </row>
    <row r="9" spans="1:3" ht="11.25">
      <c r="A9" s="238">
        <f>RésF2CeInd!$B52</f>
        <v>9</v>
      </c>
      <c r="B9" s="150">
        <f>RésF2CeInd!$A52</f>
        <v>44</v>
      </c>
      <c r="C9" s="150" t="str">
        <f>RésF2CeInd!$C52</f>
        <v>JAREBEK J. / PARENT K.</v>
      </c>
    </row>
    <row r="10" spans="1:3" ht="11.25">
      <c r="A10" s="238">
        <f>RésF2CeInd!$B37</f>
        <v>10</v>
      </c>
      <c r="B10" s="150">
        <f>RésF2CeInd!$A37</f>
        <v>29</v>
      </c>
      <c r="C10" s="150" t="str">
        <f>RésF2CeInd!$C37</f>
        <v>BARRAGAN A. / BARRAGAN J.</v>
      </c>
    </row>
    <row r="11" spans="1:3" ht="11.25">
      <c r="A11" s="238">
        <f>RésF2CeInd!$B28</f>
        <v>11</v>
      </c>
      <c r="B11" s="150">
        <f>RésF2CeInd!$A28</f>
        <v>20</v>
      </c>
      <c r="C11" s="150" t="str">
        <f>RésF2CeInd!$C28</f>
        <v>CRESPI M. / CRESPI P.</v>
      </c>
    </row>
    <row r="12" spans="1:3" ht="11.25">
      <c r="A12" s="238">
        <f>RésF2CeInd!$B38</f>
        <v>12</v>
      </c>
      <c r="B12" s="150">
        <f>RésF2CeInd!$A38</f>
        <v>30</v>
      </c>
      <c r="C12" s="150" t="str">
        <f>RésF2CeInd!$C38</f>
        <v>LOPEZ J. / DEL HOYO C. </v>
      </c>
    </row>
    <row r="13" spans="1:3" ht="11.25">
      <c r="A13" s="238">
        <f>RésF2CeInd!$B9</f>
        <v>13</v>
      </c>
      <c r="B13" s="150">
        <f>RésF2CeInd!$A9</f>
        <v>1</v>
      </c>
      <c r="C13" s="150" t="str">
        <f>RésF2CeInd!$C9</f>
        <v>MARET J. / PERRET J.P.</v>
      </c>
    </row>
    <row r="14" spans="1:3" ht="11.25">
      <c r="A14" s="238">
        <f>RésF2CeInd!$B21</f>
        <v>14</v>
      </c>
      <c r="B14" s="150">
        <f>RésF2CeInd!$A21</f>
        <v>13</v>
      </c>
      <c r="C14" s="150" t="str">
        <f>RésF2CeInd!$C21</f>
        <v>DELOR B. / CONSTANT P.</v>
      </c>
    </row>
    <row r="15" spans="1:3" ht="11.25">
      <c r="A15" s="238">
        <f>RésF2CeInd!$B17</f>
        <v>15</v>
      </c>
      <c r="B15" s="150">
        <f>RésF2CeInd!$A17</f>
        <v>9</v>
      </c>
      <c r="C15" s="150" t="str">
        <f>RésF2CeInd!$C17</f>
        <v>SURUGUE P. / SURUGUE G.</v>
      </c>
    </row>
    <row r="16" spans="1:3" ht="11.25">
      <c r="A16" s="238">
        <f>RésF2CeInd!$B46</f>
        <v>16</v>
      </c>
      <c r="B16" s="150">
        <f>RésF2CeInd!$A46</f>
        <v>38</v>
      </c>
      <c r="C16" s="150" t="str">
        <f>RésF2CeInd!$C46</f>
        <v>BUCCI L. / PERRET C.</v>
      </c>
    </row>
    <row r="17" spans="1:3" ht="11.25">
      <c r="A17" s="238">
        <f>RésF2CeInd!$B41</f>
        <v>17</v>
      </c>
      <c r="B17" s="150">
        <f>RésF2CeInd!$A41</f>
        <v>33</v>
      </c>
      <c r="C17" s="150" t="str">
        <f>RésF2CeInd!$C41</f>
        <v>LINDEMANN R. / KIEL U.</v>
      </c>
    </row>
    <row r="18" spans="1:3" ht="11.25">
      <c r="A18" s="238">
        <f>RésF2CeInd!$B39</f>
        <v>18</v>
      </c>
      <c r="B18" s="150">
        <f>RésF2CeInd!$A39</f>
        <v>31</v>
      </c>
      <c r="C18" s="150" t="str">
        <f>RésF2CeInd!$C39</f>
        <v>MARSCHALL H./ KUCKELKORN F.</v>
      </c>
    </row>
    <row r="19" spans="1:3" ht="11.25">
      <c r="A19" s="238">
        <f>RésF2CeInd!$B18</f>
        <v>19</v>
      </c>
      <c r="B19" s="150">
        <f>RésF2CeInd!$A18</f>
        <v>10</v>
      </c>
      <c r="C19" s="150" t="str">
        <f>RésF2CeInd!$C18</f>
        <v>ROSS M. / TURNER B.</v>
      </c>
    </row>
    <row r="20" spans="1:3" ht="11.25">
      <c r="A20" s="238">
        <f>RésF2CeInd!$B31</f>
        <v>20</v>
      </c>
      <c r="B20" s="150">
        <f>RésF2CeInd!$A31</f>
        <v>23</v>
      </c>
      <c r="C20" s="150" t="str">
        <f>RésF2CeInd!$C31</f>
        <v>LANGWORTH B. / CAMPBELL D.</v>
      </c>
    </row>
    <row r="21" spans="1:3" ht="11.25">
      <c r="A21" s="238">
        <f>RésF2CeInd!$B25</f>
        <v>21</v>
      </c>
      <c r="B21" s="150">
        <f>RésF2CeInd!$A25</f>
        <v>17</v>
      </c>
      <c r="C21" s="150" t="str">
        <f>RésF2CeInd!$C25</f>
        <v>ZHURAVLYOV V. / SOSNOVSKIY V.</v>
      </c>
    </row>
    <row r="22" spans="1:3" ht="11.25">
      <c r="A22" s="238">
        <f>RésF2CeInd!$B45</f>
        <v>22</v>
      </c>
      <c r="B22" s="150">
        <f>RésF2CeInd!$A45</f>
        <v>37</v>
      </c>
      <c r="C22" s="150" t="str">
        <f>RésF2CeInd!$C45</f>
        <v>ORVOS F. / NAGY Z.</v>
      </c>
    </row>
    <row r="23" spans="1:3" ht="11.25">
      <c r="A23" s="238">
        <f>RésF2CeInd!$B34</f>
        <v>23</v>
      </c>
      <c r="B23" s="150">
        <f>RésF2CeInd!$A34</f>
        <v>26</v>
      </c>
      <c r="C23" s="150" t="str">
        <f>RésF2CeInd!$C34</f>
        <v>MOHAI I. / SZVACSEK F.</v>
      </c>
    </row>
    <row r="24" spans="1:3" ht="11.25">
      <c r="A24" s="238">
        <f>RésF2CeInd!$B11</f>
        <v>24</v>
      </c>
      <c r="B24" s="150">
        <f>RésF2CeInd!$A11</f>
        <v>3</v>
      </c>
      <c r="C24" s="150" t="str">
        <f>RésF2CeInd!$C11</f>
        <v>PENNISI R. / ROSSI A.</v>
      </c>
    </row>
    <row r="25" spans="1:3" ht="11.25">
      <c r="A25" s="238">
        <f>RésF2CeInd!$B20</f>
        <v>25</v>
      </c>
      <c r="B25" s="150">
        <f>RésF2CeInd!$A20</f>
        <v>12</v>
      </c>
      <c r="C25" s="150" t="str">
        <f>RésF2CeInd!$C20</f>
        <v>MAGLI M./  PIRAZZINI E.</v>
      </c>
    </row>
    <row r="26" spans="1:3" ht="11.25">
      <c r="A26" s="238">
        <f>RésF2CeInd!$B19</f>
        <v>26</v>
      </c>
      <c r="B26" s="150">
        <f>RésF2CeInd!$A19</f>
        <v>11</v>
      </c>
      <c r="C26" s="150" t="str">
        <f>RésF2CeInd!$C19</f>
        <v>MARTINI G. / MENOZZI M.</v>
      </c>
    </row>
    <row r="27" spans="1:3" ht="11.25">
      <c r="A27" s="238">
        <f>RésF2CeInd!$B27</f>
        <v>28</v>
      </c>
      <c r="B27" s="150">
        <f>RésF2CeInd!$A27</f>
        <v>19</v>
      </c>
      <c r="C27" s="150" t="str">
        <f>RésF2CeInd!$C27</f>
        <v>VENDEL Micha / METKEMEIJER R.</v>
      </c>
    </row>
    <row r="28" spans="1:3" ht="11.25">
      <c r="A28" s="238">
        <f>RésF2CeInd!$B56</f>
        <v>29</v>
      </c>
      <c r="B28" s="150">
        <f>RésF2CeInd!$A56</f>
        <v>48</v>
      </c>
      <c r="C28" s="150" t="str">
        <f>RésF2CeInd!$C56</f>
        <v>ZUCHOWSKI M. / DABROWSKI K.</v>
      </c>
    </row>
    <row r="29" spans="1:3" ht="11.25">
      <c r="A29" s="238">
        <f>RésF2CeInd!$B48</f>
        <v>30</v>
      </c>
      <c r="B29" s="150">
        <f>RésF2CeInd!$A48</f>
        <v>40</v>
      </c>
      <c r="C29" s="150" t="str">
        <f>RésF2CeInd!$C48</f>
        <v>CONTENTE A. / SECO F.</v>
      </c>
    </row>
    <row r="30" spans="1:3" ht="11.25">
      <c r="A30" s="238">
        <f>RésF2CeInd!$B15</f>
        <v>31</v>
      </c>
      <c r="B30" s="150">
        <f>RésF2CeInd!$A15</f>
        <v>7</v>
      </c>
      <c r="C30" s="150" t="str">
        <f>RésF2CeInd!$C15</f>
        <v>MORTINHO A. / GOULAO J.</v>
      </c>
    </row>
    <row r="31" spans="1:3" ht="11.25">
      <c r="A31" s="238">
        <f>RésF2CeInd!$B10</f>
        <v>32</v>
      </c>
      <c r="B31" s="150">
        <f>RésF2CeInd!$A10</f>
        <v>2</v>
      </c>
      <c r="C31" s="150" t="str">
        <f>RésF2CeInd!$C10</f>
        <v>CHABACHOV J. / MOSKALEEV S.</v>
      </c>
    </row>
    <row r="32" spans="1:3" ht="11.25">
      <c r="A32" s="238">
        <f>RésF2CeInd!$B35</f>
        <v>33</v>
      </c>
      <c r="B32" s="150">
        <f>RésF2CeInd!$A35</f>
        <v>27</v>
      </c>
      <c r="C32" s="150" t="str">
        <f>RésF2CeInd!$C35</f>
        <v>SURKOV O. / BALEZINE V.</v>
      </c>
    </row>
    <row r="33" spans="1:3" ht="11.25">
      <c r="A33" s="238">
        <f>RésF2CeInd!$B16</f>
        <v>34</v>
      </c>
      <c r="B33" s="150">
        <f>RésF2CeInd!$A16</f>
        <v>8</v>
      </c>
      <c r="C33" s="150" t="str">
        <f>RésF2CeInd!$C16</f>
        <v>TITOV V. / JOUGOV V.</v>
      </c>
    </row>
    <row r="34" spans="1:3" ht="11.25">
      <c r="A34" s="238">
        <f>RésF2CeInd!$B50</f>
        <v>35</v>
      </c>
      <c r="B34" s="150">
        <f>RésF2CeInd!$A50</f>
        <v>42</v>
      </c>
      <c r="C34" s="150" t="str">
        <f>RésF2CeInd!$C50</f>
        <v>USTINOV D. / ORESHKINE A.</v>
      </c>
    </row>
    <row r="35" spans="1:3" ht="11.25">
      <c r="A35" s="238">
        <f>RésF2CeInd!$B55</f>
        <v>36</v>
      </c>
      <c r="B35" s="150">
        <f>RésF2CeInd!$A55</f>
        <v>47</v>
      </c>
      <c r="C35" s="150" t="str">
        <f>RésF2CeInd!$C55</f>
        <v>ABDHUL RAMAN N. / NAJIMUDEEN H.</v>
      </c>
    </row>
    <row r="36" spans="1:3" ht="11.25">
      <c r="A36" s="238">
        <f>RésF2CeInd!$B49</f>
        <v>37</v>
      </c>
      <c r="B36" s="150">
        <f>RésF2CeInd!$A49</f>
        <v>41</v>
      </c>
      <c r="C36" s="150" t="str">
        <f>RésF2CeInd!$C49</f>
        <v>ONG R. / SU D.</v>
      </c>
    </row>
    <row r="37" spans="1:3" ht="11.25">
      <c r="A37" s="238">
        <f>RésF2CeInd!$B53</f>
        <v>38</v>
      </c>
      <c r="B37" s="150">
        <f>RésF2CeInd!$A53</f>
        <v>45</v>
      </c>
      <c r="C37" s="150" t="str">
        <f>RésF2CeInd!$C53</f>
        <v>SATHA S. / WEE C.</v>
      </c>
    </row>
    <row r="38" spans="1:3" ht="11.25">
      <c r="A38" s="238">
        <f>RésF2CeInd!$B54</f>
        <v>39</v>
      </c>
      <c r="B38" s="150">
        <f>RésF2CeInd!$A54</f>
        <v>46</v>
      </c>
      <c r="C38" s="150" t="str">
        <f>RésF2CeInd!$C54</f>
        <v>LOH P. / CHING M. </v>
      </c>
    </row>
    <row r="39" spans="1:3" ht="11.25">
      <c r="A39" s="238">
        <f>RésF2CeInd!$B42</f>
        <v>40</v>
      </c>
      <c r="B39" s="150">
        <f>RésF2CeInd!$A42</f>
        <v>34</v>
      </c>
      <c r="C39" s="150" t="str">
        <f>RésF2CeInd!$C42</f>
        <v>SAMUELSSON B. O. / AXTILIUS K.</v>
      </c>
    </row>
    <row r="40" spans="1:3" ht="11.25">
      <c r="A40" s="238">
        <f>RésF2CeInd!$B32</f>
        <v>41</v>
      </c>
      <c r="B40" s="150">
        <f>RésF2CeInd!$A32</f>
        <v>24</v>
      </c>
      <c r="C40" s="150" t="str">
        <f>RésF2CeInd!$C32</f>
        <v>GUSTAFSSON J. / BJÖHOLM S.</v>
      </c>
    </row>
    <row r="41" spans="1:3" ht="11.25">
      <c r="A41" s="238">
        <f>RésF2CeInd!$B29</f>
        <v>42</v>
      </c>
      <c r="B41" s="150">
        <f>RésF2CeInd!$A29</f>
        <v>21</v>
      </c>
      <c r="C41" s="150" t="str">
        <f>RésF2CeInd!$C29</f>
        <v>BORER H. / SACCAVINO C.</v>
      </c>
    </row>
    <row r="42" spans="1:3" ht="11.25">
      <c r="A42" s="238">
        <f>RésF2CeInd!$B33</f>
        <v>43</v>
      </c>
      <c r="B42" s="150">
        <f>RésF2CeInd!$A33</f>
        <v>25</v>
      </c>
      <c r="C42" s="150" t="str">
        <f>RésF2CeInd!$C33</f>
        <v>MUELLER R. / SACCAVINO V.</v>
      </c>
    </row>
    <row r="43" spans="1:3" ht="11.25">
      <c r="A43" s="238">
        <f>RésF2CeInd!$B40</f>
        <v>44</v>
      </c>
      <c r="B43" s="150">
        <f>RésF2CeInd!$A40</f>
        <v>32</v>
      </c>
      <c r="C43" s="150" t="str">
        <f>RésF2CeInd!$C40</f>
        <v>GIGER P. / STUDER H.</v>
      </c>
    </row>
    <row r="44" spans="1:3" ht="11.25">
      <c r="A44" s="238">
        <f>RésF2CeInd!$B12</f>
        <v>45</v>
      </c>
      <c r="B44" s="150">
        <f>RésF2CeInd!$A12</f>
        <v>4</v>
      </c>
      <c r="C44" s="150" t="str">
        <f>RésF2CeInd!$C12</f>
        <v>BONDARENKO Y. / LERNER S.</v>
      </c>
    </row>
    <row r="45" spans="1:3" ht="11.25">
      <c r="A45" s="238">
        <f>RésF2CeInd!$B24</f>
        <v>46</v>
      </c>
      <c r="B45" s="150">
        <f>RésF2CeInd!$A24</f>
        <v>16</v>
      </c>
      <c r="C45" s="150" t="str">
        <f>RésF2CeInd!$C24</f>
        <v>BEZMERTNY Y. / FULITKA V.</v>
      </c>
    </row>
    <row r="46" spans="1:3" ht="11.25">
      <c r="A46" s="238">
        <f>RésF2CeInd!$B22</f>
        <v>47</v>
      </c>
      <c r="B46" s="150">
        <f>RésF2CeInd!$A22</f>
        <v>14</v>
      </c>
      <c r="C46" s="150" t="str">
        <f>RésF2CeInd!$C22</f>
        <v>ZHURAVLYOV V. / SOSNOVSKIY V.</v>
      </c>
    </row>
    <row r="47" spans="1:3" ht="11.25">
      <c r="A47" s="238">
        <f>RésF2CeInd!$B23</f>
        <v>49</v>
      </c>
      <c r="B47" s="150">
        <f>RésF2CeInd!$A23</f>
        <v>15</v>
      </c>
      <c r="C47" s="150" t="str">
        <f>RésF2CeInd!$C23</f>
        <v>ASCHER A. / ASCHER L.</v>
      </c>
    </row>
    <row r="48" spans="1:3" ht="11.25">
      <c r="A48" s="238">
        <f>RésF2CeInd!$B57</f>
        <v>50</v>
      </c>
      <c r="B48" s="150">
        <f>RésF2CeInd!$A57</f>
        <v>49</v>
      </c>
      <c r="C48" s="150" t="str">
        <f>RésF2CeInd!$C57</f>
        <v>BALLARD J. / LAMBERT D.</v>
      </c>
    </row>
    <row r="49" spans="1:3" ht="11.25">
      <c r="A49" s="238">
        <f>RésF2CeInd!$B51</f>
        <v>51</v>
      </c>
      <c r="B49" s="150">
        <f>RésF2CeInd!$A51</f>
        <v>43</v>
      </c>
      <c r="C49" s="150" t="str">
        <f>RésF2CeInd!$C51</f>
        <v>WILLOUGHBY S. / OGE B.</v>
      </c>
    </row>
    <row r="50" spans="1:2" ht="11.25">
      <c r="A50"/>
      <c r="B50"/>
    </row>
    <row r="51" spans="1:2" ht="11.25">
      <c r="A51"/>
      <c r="B51"/>
    </row>
    <row r="52" spans="1:2" ht="11.25">
      <c r="A52"/>
      <c r="B52"/>
    </row>
    <row r="53" spans="1:2" ht="11.25">
      <c r="A53"/>
      <c r="B53"/>
    </row>
    <row r="54" spans="1:2" ht="11.25">
      <c r="A54"/>
      <c r="B54"/>
    </row>
    <row r="55" spans="1:2" ht="11.25">
      <c r="A55"/>
      <c r="B55"/>
    </row>
    <row r="56" spans="1:2" ht="11.25">
      <c r="A56"/>
      <c r="B56"/>
    </row>
    <row r="57" spans="1:2" ht="11.25">
      <c r="A57"/>
      <c r="B57"/>
    </row>
    <row r="58" spans="1:2" ht="11.25">
      <c r="A58"/>
      <c r="B58"/>
    </row>
    <row r="59" spans="1:2" ht="11.25">
      <c r="A59"/>
      <c r="B59"/>
    </row>
    <row r="60" spans="1:2" ht="11.25">
      <c r="A60"/>
      <c r="B60"/>
    </row>
    <row r="61" spans="1:2" ht="11.25">
      <c r="A61"/>
      <c r="B61"/>
    </row>
    <row r="62" spans="1:2" ht="11.25">
      <c r="A62"/>
      <c r="B62"/>
    </row>
    <row r="63" spans="1:2" ht="11.25">
      <c r="A63"/>
      <c r="B63"/>
    </row>
    <row r="64" spans="1:2" ht="11.25">
      <c r="A64"/>
      <c r="B64"/>
    </row>
    <row r="65" spans="1:2" ht="11.25">
      <c r="A65"/>
      <c r="B65"/>
    </row>
    <row r="66" spans="1:2" ht="11.25">
      <c r="A66"/>
      <c r="B66"/>
    </row>
    <row r="67" spans="1:2" ht="11.25">
      <c r="A67"/>
      <c r="B67"/>
    </row>
    <row r="68" spans="1:2" ht="11.25">
      <c r="A68"/>
      <c r="B68"/>
    </row>
    <row r="69" spans="1:2" ht="11.25">
      <c r="A69"/>
      <c r="B69"/>
    </row>
    <row r="70" spans="1:2" ht="11.25">
      <c r="A70"/>
      <c r="B70"/>
    </row>
    <row r="71" spans="1:2" ht="11.25">
      <c r="A71"/>
      <c r="B71"/>
    </row>
    <row r="72" spans="1:2" ht="11.25">
      <c r="A72"/>
      <c r="B72"/>
    </row>
    <row r="73" spans="1:2" ht="11.25">
      <c r="A73"/>
      <c r="B73"/>
    </row>
    <row r="74" spans="1:2" ht="11.25">
      <c r="A74"/>
      <c r="B74"/>
    </row>
    <row r="75" spans="1:2" ht="11.25">
      <c r="A75"/>
      <c r="B75"/>
    </row>
    <row r="76" spans="1:2" ht="11.25">
      <c r="A76"/>
      <c r="B76"/>
    </row>
    <row r="77" spans="1:2" ht="11.25">
      <c r="A77"/>
      <c r="B77"/>
    </row>
    <row r="78" spans="1:2" ht="11.25">
      <c r="A78"/>
      <c r="B78"/>
    </row>
    <row r="79" spans="1:2" ht="11.25">
      <c r="A79"/>
      <c r="B79"/>
    </row>
    <row r="80" spans="1:2" ht="11.25">
      <c r="A80"/>
      <c r="B80"/>
    </row>
    <row r="81" spans="1:2" ht="11.25">
      <c r="A81"/>
      <c r="B81"/>
    </row>
    <row r="82" spans="1:2" ht="11.25">
      <c r="A82"/>
      <c r="B82"/>
    </row>
    <row r="83" spans="1:2" ht="11.25">
      <c r="A83"/>
      <c r="B83"/>
    </row>
    <row r="84" spans="1:2" ht="11.25">
      <c r="A84"/>
      <c r="B84"/>
    </row>
    <row r="85" spans="1:2" ht="11.25">
      <c r="A85"/>
      <c r="B85"/>
    </row>
    <row r="86" spans="1:2" ht="11.25">
      <c r="A86"/>
      <c r="B86"/>
    </row>
    <row r="87" spans="1:2" ht="11.25">
      <c r="A87"/>
      <c r="B87"/>
    </row>
    <row r="88" spans="1:2" ht="11.25">
      <c r="A88"/>
      <c r="B88"/>
    </row>
    <row r="89" spans="1:2" ht="11.25">
      <c r="A89"/>
      <c r="B89"/>
    </row>
    <row r="90" spans="1:2" ht="11.25">
      <c r="A90"/>
      <c r="B90"/>
    </row>
    <row r="91" spans="1:2" ht="11.25">
      <c r="A91"/>
      <c r="B91"/>
    </row>
    <row r="92" spans="1:2" ht="11.25">
      <c r="A92"/>
      <c r="B92"/>
    </row>
    <row r="93" spans="1:2" ht="11.25">
      <c r="A93"/>
      <c r="B93"/>
    </row>
    <row r="94" spans="1:2" ht="11.25">
      <c r="A94"/>
      <c r="B94"/>
    </row>
    <row r="95" spans="1:2" ht="11.25">
      <c r="A95"/>
      <c r="B95"/>
    </row>
    <row r="96" spans="1:2" ht="11.25">
      <c r="A96"/>
      <c r="B96"/>
    </row>
    <row r="97" spans="1:2" ht="11.25">
      <c r="A97"/>
      <c r="B97"/>
    </row>
    <row r="98" spans="1:2" ht="11.25">
      <c r="A98"/>
      <c r="B98"/>
    </row>
    <row r="99" spans="1:2" ht="11.25">
      <c r="A99"/>
      <c r="B99"/>
    </row>
    <row r="100" spans="1:2" ht="11.25">
      <c r="A100"/>
      <c r="B100"/>
    </row>
    <row r="101" spans="1:2" ht="11.25">
      <c r="A101"/>
      <c r="B101"/>
    </row>
    <row r="102" spans="1:2" ht="11.25">
      <c r="A102"/>
      <c r="B102"/>
    </row>
    <row r="103" spans="1:2" ht="11.25">
      <c r="A103"/>
      <c r="B103"/>
    </row>
    <row r="104" spans="1:2" ht="11.25">
      <c r="A104"/>
      <c r="B104"/>
    </row>
    <row r="105" spans="1:2" ht="11.25">
      <c r="A105"/>
      <c r="B105"/>
    </row>
    <row r="106" spans="1:2" ht="11.25">
      <c r="A106"/>
      <c r="B106"/>
    </row>
    <row r="107" spans="1:2" ht="11.25">
      <c r="A107"/>
      <c r="B107"/>
    </row>
    <row r="108" spans="1:2" ht="11.25">
      <c r="A108"/>
      <c r="B108"/>
    </row>
    <row r="109" spans="1:2" ht="11.25">
      <c r="A109"/>
      <c r="B109"/>
    </row>
    <row r="110" spans="1:2" ht="11.25">
      <c r="A110"/>
      <c r="B110"/>
    </row>
    <row r="111" spans="1:2" ht="11.25">
      <c r="A111"/>
      <c r="B111"/>
    </row>
    <row r="112" spans="1:2" ht="11.25">
      <c r="A112"/>
      <c r="B112"/>
    </row>
    <row r="113" spans="1:2" ht="11.25">
      <c r="A113"/>
      <c r="B113"/>
    </row>
    <row r="114" spans="1:2" ht="11.25">
      <c r="A114"/>
      <c r="B114"/>
    </row>
    <row r="115" spans="1:2" ht="11.25">
      <c r="A115"/>
      <c r="B115"/>
    </row>
    <row r="116" spans="1:2" ht="11.25">
      <c r="A116"/>
      <c r="B116"/>
    </row>
    <row r="117" spans="1:2" ht="11.25">
      <c r="A117"/>
      <c r="B117"/>
    </row>
    <row r="118" spans="1:2" ht="11.25">
      <c r="A118"/>
      <c r="B118"/>
    </row>
    <row r="119" spans="1:2" ht="11.25">
      <c r="A119"/>
      <c r="B119"/>
    </row>
    <row r="120" spans="1:2" ht="11.25">
      <c r="A120"/>
      <c r="B120"/>
    </row>
    <row r="121" spans="1:2" ht="11.25">
      <c r="A121"/>
      <c r="B121"/>
    </row>
    <row r="122" spans="1:2" ht="11.25">
      <c r="A122"/>
      <c r="B122"/>
    </row>
    <row r="123" spans="1:2" ht="11.25">
      <c r="A123"/>
      <c r="B123"/>
    </row>
    <row r="124" spans="1:2" ht="11.25">
      <c r="A124"/>
      <c r="B124"/>
    </row>
    <row r="125" spans="1:2" ht="11.25">
      <c r="A125"/>
      <c r="B125"/>
    </row>
    <row r="126" spans="1:2" ht="11.25">
      <c r="A126"/>
      <c r="B126"/>
    </row>
    <row r="127" spans="1:2" ht="11.25">
      <c r="A127"/>
      <c r="B127"/>
    </row>
    <row r="128" spans="1:2" ht="11.25">
      <c r="A128"/>
      <c r="B128"/>
    </row>
    <row r="129" spans="1:2" ht="11.25">
      <c r="A129"/>
      <c r="B129"/>
    </row>
    <row r="130" spans="1:2" ht="11.25">
      <c r="A130"/>
      <c r="B130"/>
    </row>
    <row r="131" spans="1:2" ht="11.25">
      <c r="A131"/>
      <c r="B131"/>
    </row>
    <row r="132" spans="1:2" ht="11.25">
      <c r="A132"/>
      <c r="B132"/>
    </row>
    <row r="133" spans="1:2" ht="11.25">
      <c r="A133"/>
      <c r="B133"/>
    </row>
    <row r="134" spans="1:2" ht="11.25">
      <c r="A134"/>
      <c r="B134"/>
    </row>
    <row r="135" spans="1:2" ht="11.25">
      <c r="A135"/>
      <c r="B135"/>
    </row>
    <row r="136" spans="1:2" ht="11.25">
      <c r="A136"/>
      <c r="B136"/>
    </row>
    <row r="137" spans="1:2" ht="11.25">
      <c r="A137"/>
      <c r="B137"/>
    </row>
    <row r="138" spans="1:2" ht="11.25">
      <c r="A138"/>
      <c r="B138"/>
    </row>
    <row r="139" spans="1:2" ht="11.25">
      <c r="A139"/>
      <c r="B139"/>
    </row>
    <row r="140" spans="1:2" ht="11.25">
      <c r="A140"/>
      <c r="B140"/>
    </row>
    <row r="141" spans="1:2" ht="11.25">
      <c r="A141"/>
      <c r="B141"/>
    </row>
    <row r="142" spans="1:2" ht="11.25">
      <c r="A142"/>
      <c r="B142"/>
    </row>
    <row r="143" spans="1:2" ht="11.25">
      <c r="A143"/>
      <c r="B143"/>
    </row>
    <row r="144" spans="1:2" ht="11.25">
      <c r="A144"/>
      <c r="B144"/>
    </row>
    <row r="145" spans="1:2" ht="11.25">
      <c r="A145"/>
      <c r="B145"/>
    </row>
    <row r="146" spans="1:2" ht="11.25">
      <c r="A146"/>
      <c r="B146"/>
    </row>
    <row r="147" spans="1:2" ht="11.25">
      <c r="A147"/>
      <c r="B147"/>
    </row>
    <row r="148" spans="1:2" ht="11.25">
      <c r="A148"/>
      <c r="B148"/>
    </row>
    <row r="149" spans="1:2" ht="11.25">
      <c r="A149"/>
      <c r="B149"/>
    </row>
    <row r="150" spans="1:2" ht="11.25">
      <c r="A150"/>
      <c r="B150"/>
    </row>
    <row r="151" spans="1:2" ht="11.25">
      <c r="A151"/>
      <c r="B151"/>
    </row>
    <row r="152" spans="1:2" ht="11.25">
      <c r="A152"/>
      <c r="B152"/>
    </row>
    <row r="153" spans="1:2" ht="11.25">
      <c r="A153"/>
      <c r="B153"/>
    </row>
    <row r="154" spans="1:2" ht="11.25">
      <c r="A154"/>
      <c r="B154"/>
    </row>
    <row r="155" spans="1:2" ht="11.25">
      <c r="A155"/>
      <c r="B155"/>
    </row>
    <row r="156" spans="1:2" ht="11.25">
      <c r="A156"/>
      <c r="B156"/>
    </row>
    <row r="157" spans="1:2" ht="11.25">
      <c r="A157"/>
      <c r="B157"/>
    </row>
    <row r="158" spans="1:2" ht="11.25">
      <c r="A158"/>
      <c r="B158"/>
    </row>
    <row r="159" spans="1:2" ht="11.25">
      <c r="A159"/>
      <c r="B159"/>
    </row>
    <row r="160" spans="1:2" ht="11.25">
      <c r="A160"/>
      <c r="B160"/>
    </row>
    <row r="161" spans="1:2" ht="11.25">
      <c r="A161"/>
      <c r="B161"/>
    </row>
    <row r="162" spans="1:2" ht="11.25">
      <c r="A162"/>
      <c r="B162"/>
    </row>
    <row r="163" spans="1:2" ht="11.25">
      <c r="A163"/>
      <c r="B163"/>
    </row>
    <row r="164" spans="1:2" ht="11.25">
      <c r="A164"/>
      <c r="B164"/>
    </row>
    <row r="165" spans="1:2" ht="11.25">
      <c r="A165"/>
      <c r="B165"/>
    </row>
    <row r="166" spans="1:2" ht="11.25">
      <c r="A166"/>
      <c r="B166"/>
    </row>
    <row r="167" spans="1:2" ht="11.25">
      <c r="A167"/>
      <c r="B167"/>
    </row>
    <row r="168" spans="1:2" ht="11.25">
      <c r="A168"/>
      <c r="B168"/>
    </row>
    <row r="169" spans="1:2" ht="11.25">
      <c r="A169"/>
      <c r="B169"/>
    </row>
    <row r="170" spans="1:2" ht="11.25">
      <c r="A170"/>
      <c r="B170"/>
    </row>
    <row r="171" spans="1:2" ht="11.25">
      <c r="A171"/>
      <c r="B171"/>
    </row>
    <row r="172" spans="1:2" ht="11.25">
      <c r="A172"/>
      <c r="B172"/>
    </row>
    <row r="173" spans="1:2" ht="11.25">
      <c r="A173"/>
      <c r="B173"/>
    </row>
    <row r="174" spans="1:2" ht="11.25">
      <c r="A174"/>
      <c r="B174"/>
    </row>
    <row r="175" spans="1:2" ht="11.25">
      <c r="A175"/>
      <c r="B175"/>
    </row>
    <row r="176" spans="1:2" ht="11.25">
      <c r="A176"/>
      <c r="B176"/>
    </row>
    <row r="177" spans="1:2" ht="11.25">
      <c r="A177"/>
      <c r="B177"/>
    </row>
    <row r="178" spans="1:2" ht="11.25">
      <c r="A178"/>
      <c r="B178"/>
    </row>
    <row r="179" spans="1:2" ht="11.25">
      <c r="A179"/>
      <c r="B179"/>
    </row>
    <row r="180" spans="1:2" ht="11.25">
      <c r="A180"/>
      <c r="B180"/>
    </row>
    <row r="181" spans="1:2" ht="11.25">
      <c r="A181"/>
      <c r="B181"/>
    </row>
    <row r="182" spans="1:2" ht="11.25">
      <c r="A182"/>
      <c r="B182"/>
    </row>
    <row r="183" spans="1:2" ht="11.25">
      <c r="A183"/>
      <c r="B183"/>
    </row>
    <row r="184" spans="1:2" ht="11.25">
      <c r="A184"/>
      <c r="B184"/>
    </row>
    <row r="185" spans="1:2" ht="11.25">
      <c r="A185"/>
      <c r="B185"/>
    </row>
    <row r="186" spans="1:2" ht="11.25">
      <c r="A186"/>
      <c r="B186"/>
    </row>
    <row r="187" spans="1:2" ht="11.25">
      <c r="A187"/>
      <c r="B187"/>
    </row>
    <row r="188" spans="1:2" ht="11.25">
      <c r="A188"/>
      <c r="B188"/>
    </row>
    <row r="189" spans="1:2" ht="11.25">
      <c r="A189"/>
      <c r="B189"/>
    </row>
    <row r="190" spans="1:2" ht="11.25">
      <c r="A190"/>
      <c r="B190"/>
    </row>
    <row r="191" spans="1:2" ht="11.25">
      <c r="A191"/>
      <c r="B191"/>
    </row>
    <row r="192" spans="1:2" ht="11.25">
      <c r="A192"/>
      <c r="B192"/>
    </row>
    <row r="193" spans="1:2" ht="11.25">
      <c r="A193"/>
      <c r="B193"/>
    </row>
    <row r="194" spans="1:2" ht="11.25">
      <c r="A194"/>
      <c r="B194"/>
    </row>
    <row r="195" spans="1:2" ht="11.25">
      <c r="A195"/>
      <c r="B195"/>
    </row>
    <row r="196" spans="1:2" ht="11.25">
      <c r="A196"/>
      <c r="B196"/>
    </row>
    <row r="197" spans="1:2" ht="11.25">
      <c r="A197"/>
      <c r="B197"/>
    </row>
    <row r="198" spans="1:2" ht="11.25">
      <c r="A198"/>
      <c r="B198"/>
    </row>
    <row r="199" spans="1:2" ht="11.25">
      <c r="A199"/>
      <c r="B199"/>
    </row>
    <row r="200" spans="1:2" ht="11.25">
      <c r="A200"/>
      <c r="B200"/>
    </row>
    <row r="201" spans="1:2" ht="11.25">
      <c r="A201"/>
      <c r="B201"/>
    </row>
    <row r="202" spans="1:2" ht="11.25">
      <c r="A202"/>
      <c r="B202"/>
    </row>
    <row r="203" spans="1:2" ht="11.25">
      <c r="A203"/>
      <c r="B203"/>
    </row>
    <row r="204" spans="1:2" ht="11.25">
      <c r="A204"/>
      <c r="B204"/>
    </row>
    <row r="205" spans="1:2" ht="11.25">
      <c r="A205"/>
      <c r="B205"/>
    </row>
    <row r="206" spans="1:2" ht="11.25">
      <c r="A206"/>
      <c r="B206"/>
    </row>
    <row r="207" spans="1:2" ht="11.25">
      <c r="A207"/>
      <c r="B207"/>
    </row>
    <row r="208" spans="1:2" ht="11.25">
      <c r="A208"/>
      <c r="B208"/>
    </row>
    <row r="209" spans="1:2" ht="11.25">
      <c r="A209"/>
      <c r="B209"/>
    </row>
    <row r="210" spans="1:2" ht="11.25">
      <c r="A210"/>
      <c r="B210"/>
    </row>
    <row r="211" spans="1:2" ht="11.25">
      <c r="A211"/>
      <c r="B211"/>
    </row>
    <row r="212" spans="1:2" ht="11.25">
      <c r="A212"/>
      <c r="B212"/>
    </row>
    <row r="213" spans="1:2" ht="11.25">
      <c r="A213"/>
      <c r="B213"/>
    </row>
    <row r="214" spans="1:2" ht="11.25">
      <c r="A214"/>
      <c r="B214"/>
    </row>
    <row r="215" spans="1:2" ht="11.25">
      <c r="A215"/>
      <c r="B215"/>
    </row>
    <row r="216" spans="1:2" ht="11.25">
      <c r="A216"/>
      <c r="B216"/>
    </row>
    <row r="217" spans="1:2" ht="11.25">
      <c r="A217"/>
      <c r="B217"/>
    </row>
    <row r="218" spans="1:2" ht="11.25">
      <c r="A218"/>
      <c r="B218"/>
    </row>
    <row r="219" spans="1:2" ht="11.25">
      <c r="A219"/>
      <c r="B219"/>
    </row>
    <row r="220" spans="1:2" ht="11.25">
      <c r="A220"/>
      <c r="B220"/>
    </row>
    <row r="221" spans="1:2" ht="11.25">
      <c r="A221"/>
      <c r="B221"/>
    </row>
    <row r="222" spans="1:2" ht="11.25">
      <c r="A222"/>
      <c r="B222"/>
    </row>
    <row r="223" spans="1:2" ht="11.25">
      <c r="A223"/>
      <c r="B223"/>
    </row>
    <row r="224" spans="1:2" ht="11.25">
      <c r="A224"/>
      <c r="B224"/>
    </row>
    <row r="225" spans="1:2" ht="11.25">
      <c r="A225"/>
      <c r="B225"/>
    </row>
    <row r="226" spans="1:2" ht="11.25">
      <c r="A226"/>
      <c r="B226"/>
    </row>
    <row r="227" spans="1:2" ht="11.25">
      <c r="A227"/>
      <c r="B227"/>
    </row>
    <row r="228" spans="1:2" ht="11.25">
      <c r="A228"/>
      <c r="B228"/>
    </row>
    <row r="229" spans="1:2" ht="11.25">
      <c r="A229"/>
      <c r="B229"/>
    </row>
    <row r="230" spans="1:2" ht="11.25">
      <c r="A230"/>
      <c r="B230"/>
    </row>
  </sheetData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41"/>
  <sheetViews>
    <sheetView workbookViewId="0" topLeftCell="A1">
      <selection activeCell="B13" sqref="B13"/>
    </sheetView>
  </sheetViews>
  <sheetFormatPr defaultColWidth="9.140625" defaultRowHeight="12.75"/>
  <cols>
    <col min="1" max="1" width="6.140625" style="238" customWidth="1"/>
    <col min="2" max="2" width="5.57421875" style="303" customWidth="1"/>
    <col min="3" max="3" width="31.7109375" style="0" customWidth="1"/>
    <col min="4" max="16384" width="11.421875" style="0" customWidth="1"/>
  </cols>
  <sheetData>
    <row r="1" spans="1:3" ht="11.25">
      <c r="A1" s="238">
        <f>RésF2CsInd!$B13</f>
        <v>5</v>
      </c>
      <c r="B1" s="303">
        <f>RésF2CsInd!$A13</f>
        <v>5</v>
      </c>
      <c r="C1" s="150" t="str">
        <f>RésF2CsInd!$C13</f>
        <v>FISCHER J. / STRANIAK H.</v>
      </c>
    </row>
    <row r="2" spans="1:3" ht="11.25">
      <c r="A2" s="238">
        <f>IF((ROW(A2)&gt;'Semi-Results'!$P$2),"",RésF2CsInd!$B9)</f>
        <v>13</v>
      </c>
      <c r="B2" s="303">
        <f>IF((ROW(A2)&gt;'Semi-Results'!$P$2),"",RésF2CsInd!$A9)</f>
        <v>1</v>
      </c>
      <c r="C2" s="150" t="str">
        <f>IF((ROW(A2)&gt;'Semi-Results'!$P$2),"",RésF2CsInd!$C9)</f>
        <v>MARET J. / PERRET J.P.</v>
      </c>
    </row>
    <row r="3" spans="1:3" ht="11.25">
      <c r="A3" s="238">
        <f>RésF2CsInd!$B14</f>
        <v>14</v>
      </c>
      <c r="B3" s="303">
        <f>RésF2CsInd!$A14</f>
        <v>6</v>
      </c>
      <c r="C3" s="150" t="str">
        <f>RésF2CsInd!$C14</f>
        <v>DELOR B. / CONSTANT P.</v>
      </c>
    </row>
    <row r="4" spans="1:3" ht="11.25">
      <c r="A4" s="238">
        <f>RésF2CsInd!$B12</f>
        <v>15</v>
      </c>
      <c r="B4" s="303">
        <f>RésF2CsInd!$A12</f>
        <v>4</v>
      </c>
      <c r="C4" s="150" t="str">
        <f>RésF2CsInd!$C12</f>
        <v>SURUGUE P. / SURUGUE G.</v>
      </c>
    </row>
    <row r="5" spans="1:3" ht="11.25">
      <c r="A5" s="238">
        <f>RésF2CsInd!$B17</f>
        <v>19</v>
      </c>
      <c r="B5" s="303">
        <f>RésF2CsInd!$A17</f>
        <v>9</v>
      </c>
      <c r="C5" s="150" t="str">
        <f>RésF2CsInd!$C17</f>
        <v>ROSS M. / TURNER B.</v>
      </c>
    </row>
    <row r="6" spans="1:3" ht="11.25">
      <c r="A6" s="238">
        <f>RésF2CsInd!$B21</f>
        <v>24</v>
      </c>
      <c r="B6" s="303">
        <f>RésF2CsInd!$A21</f>
        <v>13</v>
      </c>
      <c r="C6" s="150" t="str">
        <f>RésF2CsInd!$C21</f>
        <v>PENNISI R. / ROSSI A.</v>
      </c>
    </row>
    <row r="7" spans="1:3" ht="11.25">
      <c r="A7" s="238">
        <f>RésF2CsInd!$B20</f>
        <v>25</v>
      </c>
      <c r="B7" s="303">
        <f>RésF2CsInd!$A20</f>
        <v>12</v>
      </c>
      <c r="C7" s="305" t="str">
        <f>RésF2CsInd!$C20</f>
        <v>MAGLI M./  PIRAZZINI E.</v>
      </c>
    </row>
    <row r="8" spans="1:3" ht="11.25">
      <c r="A8" s="238">
        <f>RésF2CsInd!$B18</f>
        <v>26</v>
      </c>
      <c r="B8" s="303">
        <f>RésF2CsInd!$A18</f>
        <v>10</v>
      </c>
      <c r="C8" s="150" t="str">
        <f>RésF2CsInd!$C18</f>
        <v>MARTINI G. / MENOZZI M.</v>
      </c>
    </row>
    <row r="9" spans="1:3" ht="11.25">
      <c r="A9" s="238">
        <f>RésF2CsInd!$B15</f>
        <v>31</v>
      </c>
      <c r="B9" s="303">
        <f>RésF2CsInd!$A15</f>
        <v>7</v>
      </c>
      <c r="C9" s="150" t="str">
        <f>RésF2CsInd!$C15</f>
        <v>MORTINHO A. / GOULAO J.</v>
      </c>
    </row>
    <row r="10" spans="1:3" ht="11.25">
      <c r="A10" s="238">
        <f>RésF2CsInd!$B10</f>
        <v>32</v>
      </c>
      <c r="B10" s="303">
        <v>3</v>
      </c>
      <c r="C10" s="150" t="str">
        <f>RésF2CsInd!$C10</f>
        <v>CHABACHOV J. / MOSKALEEV S.</v>
      </c>
    </row>
    <row r="11" spans="1:3" ht="11.25">
      <c r="A11" s="238">
        <f>RésF2CsInd!$B16</f>
        <v>34</v>
      </c>
      <c r="B11" s="303">
        <f>RésF2CsInd!$A16</f>
        <v>8</v>
      </c>
      <c r="C11" s="150" t="str">
        <f>RésF2CsInd!$C16</f>
        <v>TITOV V. / JOUGOV V.</v>
      </c>
    </row>
    <row r="12" spans="1:3" ht="11.25">
      <c r="A12" s="238">
        <f>RésF2CsInd!$B11</f>
        <v>45</v>
      </c>
      <c r="B12" s="303">
        <v>2</v>
      </c>
      <c r="C12" s="150" t="str">
        <f>RésF2CsInd!$C11</f>
        <v>BONDARENKO Y. / LERNER S.</v>
      </c>
    </row>
    <row r="13" spans="1:3" ht="11.25">
      <c r="A13" s="238">
        <f>RésF2CsInd!$B23</f>
        <v>46</v>
      </c>
      <c r="B13" s="303">
        <f>RésF2CsInd!$A23</f>
        <v>15</v>
      </c>
      <c r="C13" s="150" t="str">
        <f>RésF2CsInd!$C23</f>
        <v>BEZMERTNY Y. / FULITKA V.</v>
      </c>
    </row>
    <row r="14" spans="1:3" ht="11.25">
      <c r="A14" s="238">
        <f>RésF2CsInd!$B22</f>
        <v>47</v>
      </c>
      <c r="B14" s="303">
        <f>RésF2CsInd!$A22</f>
        <v>14</v>
      </c>
      <c r="C14" s="150" t="str">
        <f>RésF2CsInd!$C22</f>
        <v>ZHURAVLYOV V. / SOSNOVSKIY V.</v>
      </c>
    </row>
    <row r="15" spans="1:3" ht="11.25">
      <c r="A15" s="238">
        <f>RésF2CsInd!$B19</f>
        <v>49</v>
      </c>
      <c r="B15" s="303">
        <f>RésF2CsInd!$A19</f>
        <v>11</v>
      </c>
      <c r="C15" s="150" t="str">
        <f>RésF2CsInd!$C19</f>
        <v>ASCHER A. / ASCHER L.</v>
      </c>
    </row>
    <row r="16" spans="1:2" ht="11.25">
      <c r="A16" s="28"/>
      <c r="B16" s="91"/>
    </row>
    <row r="17" spans="1:2" ht="11.25">
      <c r="A17" s="28"/>
      <c r="B17" s="91"/>
    </row>
    <row r="18" spans="1:2" ht="11.25">
      <c r="A18" s="28"/>
      <c r="B18" s="91"/>
    </row>
    <row r="19" spans="1:2" ht="11.25">
      <c r="A19" s="28"/>
      <c r="B19" s="91"/>
    </row>
    <row r="20" spans="1:2" ht="11.25">
      <c r="A20" s="28"/>
      <c r="B20" s="91"/>
    </row>
    <row r="21" spans="1:2" ht="11.25">
      <c r="A21" s="28"/>
      <c r="B21" s="91"/>
    </row>
    <row r="22" spans="1:2" ht="11.25">
      <c r="A22" s="28"/>
      <c r="B22" s="91"/>
    </row>
    <row r="23" spans="1:2" ht="11.25">
      <c r="A23" s="28"/>
      <c r="B23" s="91"/>
    </row>
    <row r="24" spans="1:2" ht="11.25">
      <c r="A24" s="28"/>
      <c r="B24" s="91"/>
    </row>
    <row r="25" spans="1:2" ht="11.25">
      <c r="A25" s="28"/>
      <c r="B25" s="91"/>
    </row>
    <row r="26" spans="1:2" ht="11.25">
      <c r="A26" s="28"/>
      <c r="B26" s="91"/>
    </row>
    <row r="27" spans="1:2" ht="11.25">
      <c r="A27" s="28"/>
      <c r="B27" s="91"/>
    </row>
    <row r="28" spans="1:2" ht="11.25">
      <c r="A28" s="28"/>
      <c r="B28" s="91"/>
    </row>
    <row r="29" spans="1:2" ht="11.25">
      <c r="A29" s="28"/>
      <c r="B29" s="91"/>
    </row>
    <row r="30" spans="1:2" ht="11.25">
      <c r="A30" s="28"/>
      <c r="B30" s="91"/>
    </row>
    <row r="31" spans="1:2" ht="11.25">
      <c r="A31" s="28"/>
      <c r="B31" s="91"/>
    </row>
    <row r="32" spans="1:2" ht="11.25">
      <c r="A32" s="28"/>
      <c r="B32" s="91"/>
    </row>
    <row r="33" spans="1:2" ht="11.25">
      <c r="A33" s="28"/>
      <c r="B33" s="91"/>
    </row>
    <row r="34" spans="1:2" ht="11.25">
      <c r="A34" s="28"/>
      <c r="B34" s="91"/>
    </row>
    <row r="35" spans="1:2" ht="11.25">
      <c r="A35" s="28"/>
      <c r="B35" s="91"/>
    </row>
    <row r="36" spans="1:2" ht="11.25">
      <c r="A36" s="28"/>
      <c r="B36" s="91"/>
    </row>
    <row r="37" spans="1:2" ht="11.25">
      <c r="A37" s="28"/>
      <c r="B37" s="91"/>
    </row>
    <row r="38" spans="1:2" ht="11.25">
      <c r="A38" s="28"/>
      <c r="B38" s="91"/>
    </row>
    <row r="39" spans="1:2" ht="11.25">
      <c r="A39" s="28"/>
      <c r="B39" s="91"/>
    </row>
    <row r="40" spans="1:2" ht="11.25">
      <c r="A40" s="28"/>
      <c r="B40" s="91"/>
    </row>
    <row r="41" spans="1:2" ht="11.25">
      <c r="A41" s="28"/>
      <c r="B41" s="91"/>
    </row>
    <row r="42" spans="1:2" ht="11.25">
      <c r="A42" s="28"/>
      <c r="B42" s="91"/>
    </row>
    <row r="43" spans="1:2" ht="11.25">
      <c r="A43" s="28"/>
      <c r="B43" s="91"/>
    </row>
    <row r="44" spans="1:2" ht="11.25">
      <c r="A44" s="28"/>
      <c r="B44" s="91"/>
    </row>
    <row r="45" spans="1:2" ht="11.25">
      <c r="A45" s="28"/>
      <c r="B45" s="91"/>
    </row>
    <row r="46" spans="1:2" ht="11.25">
      <c r="A46" s="28"/>
      <c r="B46" s="91"/>
    </row>
    <row r="47" spans="1:2" ht="11.25">
      <c r="A47" s="28"/>
      <c r="B47" s="91"/>
    </row>
    <row r="48" spans="1:2" ht="11.25">
      <c r="A48" s="28"/>
      <c r="B48" s="91"/>
    </row>
    <row r="49" spans="1:2" ht="11.25">
      <c r="A49" s="28"/>
      <c r="B49" s="91"/>
    </row>
    <row r="50" spans="1:2" ht="11.25">
      <c r="A50" s="28"/>
      <c r="B50" s="91"/>
    </row>
    <row r="51" spans="1:2" ht="11.25">
      <c r="A51" s="28"/>
      <c r="B51" s="91"/>
    </row>
    <row r="52" spans="1:2" ht="11.25">
      <c r="A52" s="28"/>
      <c r="B52" s="91"/>
    </row>
    <row r="53" spans="1:2" ht="11.25">
      <c r="A53" s="28"/>
      <c r="B53" s="91"/>
    </row>
    <row r="54" spans="1:2" ht="11.25">
      <c r="A54" s="28"/>
      <c r="B54" s="91"/>
    </row>
    <row r="55" spans="1:2" ht="11.25">
      <c r="A55" s="28"/>
      <c r="B55" s="91"/>
    </row>
    <row r="56" spans="1:2" ht="11.25">
      <c r="A56" s="28"/>
      <c r="B56" s="91"/>
    </row>
    <row r="57" spans="1:2" ht="11.25">
      <c r="A57" s="28"/>
      <c r="B57" s="91"/>
    </row>
    <row r="58" spans="1:2" ht="11.25">
      <c r="A58" s="28"/>
      <c r="B58" s="91"/>
    </row>
    <row r="59" spans="1:2" ht="11.25">
      <c r="A59" s="28"/>
      <c r="B59" s="91"/>
    </row>
    <row r="60" spans="1:2" ht="11.25">
      <c r="A60" s="28"/>
      <c r="B60" s="91"/>
    </row>
    <row r="61" spans="1:2" ht="11.25">
      <c r="A61" s="28"/>
      <c r="B61" s="91"/>
    </row>
    <row r="62" spans="1:2" ht="11.25">
      <c r="A62" s="28"/>
      <c r="B62" s="91"/>
    </row>
    <row r="63" spans="1:2" ht="11.25">
      <c r="A63" s="28"/>
      <c r="B63" s="91"/>
    </row>
    <row r="64" spans="1:2" ht="11.25">
      <c r="A64" s="28"/>
      <c r="B64" s="91"/>
    </row>
    <row r="65" spans="1:2" ht="11.25">
      <c r="A65" s="28"/>
      <c r="B65" s="91"/>
    </row>
    <row r="66" spans="1:2" ht="11.25">
      <c r="A66" s="28"/>
      <c r="B66" s="91"/>
    </row>
    <row r="67" spans="1:2" ht="11.25">
      <c r="A67" s="28"/>
      <c r="B67" s="91"/>
    </row>
    <row r="68" spans="1:2" ht="11.25">
      <c r="A68" s="28"/>
      <c r="B68" s="91"/>
    </row>
    <row r="69" spans="1:2" ht="11.25">
      <c r="A69" s="28"/>
      <c r="B69" s="91"/>
    </row>
    <row r="70" spans="1:2" ht="11.25">
      <c r="A70" s="28"/>
      <c r="B70" s="91"/>
    </row>
    <row r="71" spans="1:2" ht="11.25">
      <c r="A71" s="28"/>
      <c r="B71" s="91"/>
    </row>
    <row r="72" spans="1:2" ht="11.25">
      <c r="A72" s="28"/>
      <c r="B72" s="91"/>
    </row>
    <row r="73" spans="1:2" ht="11.25">
      <c r="A73" s="28"/>
      <c r="B73" s="91"/>
    </row>
    <row r="74" spans="1:2" ht="11.25">
      <c r="A74" s="28"/>
      <c r="B74" s="91"/>
    </row>
    <row r="75" spans="1:2" ht="11.25">
      <c r="A75" s="28"/>
      <c r="B75" s="91"/>
    </row>
    <row r="76" spans="1:2" ht="11.25">
      <c r="A76" s="28"/>
      <c r="B76" s="91"/>
    </row>
    <row r="77" spans="1:2" ht="11.25">
      <c r="A77" s="28"/>
      <c r="B77" s="91"/>
    </row>
    <row r="78" spans="1:2" ht="11.25">
      <c r="A78" s="28"/>
      <c r="B78" s="91"/>
    </row>
    <row r="79" spans="1:2" ht="11.25">
      <c r="A79" s="28"/>
      <c r="B79" s="91"/>
    </row>
    <row r="80" spans="1:2" ht="11.25">
      <c r="A80" s="28"/>
      <c r="B80" s="91"/>
    </row>
    <row r="81" spans="1:2" ht="11.25">
      <c r="A81" s="28"/>
      <c r="B81" s="91"/>
    </row>
    <row r="82" spans="1:2" ht="11.25">
      <c r="A82" s="28"/>
      <c r="B82" s="91"/>
    </row>
    <row r="83" spans="1:2" ht="11.25">
      <c r="A83" s="28"/>
      <c r="B83" s="91"/>
    </row>
    <row r="84" spans="1:2" ht="11.25">
      <c r="A84" s="28"/>
      <c r="B84" s="91"/>
    </row>
    <row r="85" spans="1:2" ht="11.25">
      <c r="A85" s="28"/>
      <c r="B85" s="91"/>
    </row>
    <row r="86" spans="1:2" ht="11.25">
      <c r="A86" s="28"/>
      <c r="B86" s="91"/>
    </row>
    <row r="87" spans="1:2" ht="11.25">
      <c r="A87" s="28"/>
      <c r="B87" s="91"/>
    </row>
    <row r="88" spans="1:2" ht="11.25">
      <c r="A88" s="28"/>
      <c r="B88" s="91"/>
    </row>
    <row r="89" spans="1:2" ht="11.25">
      <c r="A89" s="28"/>
      <c r="B89" s="91"/>
    </row>
    <row r="90" spans="1:2" ht="11.25">
      <c r="A90" s="28"/>
      <c r="B90" s="91"/>
    </row>
    <row r="91" spans="1:2" ht="11.25">
      <c r="A91" s="28"/>
      <c r="B91" s="91"/>
    </row>
    <row r="92" spans="1:2" ht="11.25">
      <c r="A92" s="28"/>
      <c r="B92" s="91"/>
    </row>
    <row r="93" spans="1:2" ht="11.25">
      <c r="A93" s="28"/>
      <c r="B93" s="91"/>
    </row>
    <row r="94" spans="1:2" ht="11.25">
      <c r="A94" s="28"/>
      <c r="B94" s="91"/>
    </row>
    <row r="95" spans="1:2" ht="11.25">
      <c r="A95" s="28"/>
      <c r="B95" s="91"/>
    </row>
    <row r="96" spans="1:2" ht="11.25">
      <c r="A96" s="28"/>
      <c r="B96" s="91"/>
    </row>
    <row r="97" spans="1:2" ht="11.25">
      <c r="A97" s="28"/>
      <c r="B97" s="91"/>
    </row>
    <row r="98" spans="1:2" ht="11.25">
      <c r="A98" s="28"/>
      <c r="B98" s="91"/>
    </row>
    <row r="99" spans="1:2" ht="11.25">
      <c r="A99" s="28"/>
      <c r="B99" s="91"/>
    </row>
    <row r="100" spans="1:2" ht="11.25">
      <c r="A100" s="28"/>
      <c r="B100" s="91"/>
    </row>
    <row r="101" spans="1:2" ht="11.25">
      <c r="A101" s="28"/>
      <c r="B101" s="91"/>
    </row>
    <row r="102" spans="1:2" ht="11.25">
      <c r="A102" s="28"/>
      <c r="B102" s="91"/>
    </row>
    <row r="103" spans="1:2" ht="11.25">
      <c r="A103" s="28"/>
      <c r="B103" s="91"/>
    </row>
    <row r="104" spans="1:2" ht="11.25">
      <c r="A104" s="28"/>
      <c r="B104" s="91"/>
    </row>
    <row r="105" spans="1:2" ht="11.25">
      <c r="A105" s="28"/>
      <c r="B105" s="91"/>
    </row>
    <row r="106" spans="1:2" ht="11.25">
      <c r="A106" s="28"/>
      <c r="B106" s="91"/>
    </row>
    <row r="107" spans="1:2" ht="11.25">
      <c r="A107" s="28"/>
      <c r="B107" s="91"/>
    </row>
    <row r="108" spans="1:2" ht="11.25">
      <c r="A108" s="28"/>
      <c r="B108" s="91"/>
    </row>
    <row r="109" spans="1:2" ht="11.25">
      <c r="A109" s="28"/>
      <c r="B109" s="91"/>
    </row>
    <row r="110" spans="1:2" ht="11.25">
      <c r="A110" s="28"/>
      <c r="B110" s="91"/>
    </row>
    <row r="111" spans="1:2" ht="11.25">
      <c r="A111" s="28"/>
      <c r="B111" s="91"/>
    </row>
    <row r="112" spans="1:2" ht="11.25">
      <c r="A112" s="28"/>
      <c r="B112" s="91"/>
    </row>
    <row r="113" spans="1:2" ht="11.25">
      <c r="A113" s="28"/>
      <c r="B113" s="91"/>
    </row>
    <row r="114" spans="1:2" ht="11.25">
      <c r="A114" s="28"/>
      <c r="B114" s="91"/>
    </row>
    <row r="115" spans="1:2" ht="11.25">
      <c r="A115" s="28"/>
      <c r="B115" s="91"/>
    </row>
    <row r="116" spans="1:2" ht="11.25">
      <c r="A116" s="28"/>
      <c r="B116" s="91"/>
    </row>
    <row r="117" spans="1:2" ht="11.25">
      <c r="A117" s="28"/>
      <c r="B117" s="91"/>
    </row>
    <row r="118" spans="1:2" ht="11.25">
      <c r="A118" s="28"/>
      <c r="B118" s="91"/>
    </row>
    <row r="119" spans="1:2" ht="11.25">
      <c r="A119" s="28"/>
      <c r="B119" s="91"/>
    </row>
    <row r="120" spans="1:2" ht="11.25">
      <c r="A120" s="28"/>
      <c r="B120" s="91"/>
    </row>
    <row r="121" spans="1:2" ht="11.25">
      <c r="A121" s="28"/>
      <c r="B121" s="91"/>
    </row>
    <row r="122" spans="1:2" ht="11.25">
      <c r="A122" s="28"/>
      <c r="B122" s="91"/>
    </row>
    <row r="123" spans="1:2" ht="11.25">
      <c r="A123" s="28"/>
      <c r="B123" s="91"/>
    </row>
    <row r="124" spans="1:2" ht="11.25">
      <c r="A124" s="28"/>
      <c r="B124" s="91"/>
    </row>
    <row r="125" spans="1:2" ht="11.25">
      <c r="A125" s="28"/>
      <c r="B125" s="91"/>
    </row>
    <row r="126" spans="1:2" ht="11.25">
      <c r="A126" s="28"/>
      <c r="B126" s="91"/>
    </row>
    <row r="127" spans="1:2" ht="11.25">
      <c r="A127" s="28"/>
      <c r="B127" s="91"/>
    </row>
    <row r="128" spans="1:2" ht="11.25">
      <c r="A128" s="28"/>
      <c r="B128" s="91"/>
    </row>
    <row r="129" spans="1:2" ht="11.25">
      <c r="A129" s="28"/>
      <c r="B129" s="91"/>
    </row>
    <row r="130" spans="1:2" ht="11.25">
      <c r="A130" s="28"/>
      <c r="B130" s="91"/>
    </row>
    <row r="131" spans="1:2" ht="11.25">
      <c r="A131" s="28"/>
      <c r="B131" s="91"/>
    </row>
    <row r="132" spans="1:2" ht="11.25">
      <c r="A132" s="28"/>
      <c r="B132" s="91"/>
    </row>
    <row r="133" spans="1:2" ht="11.25">
      <c r="A133" s="28"/>
      <c r="B133" s="91"/>
    </row>
    <row r="134" spans="1:2" ht="11.25">
      <c r="A134" s="28"/>
      <c r="B134" s="91"/>
    </row>
    <row r="135" spans="1:2" ht="11.25">
      <c r="A135" s="28"/>
      <c r="B135" s="91"/>
    </row>
    <row r="136" spans="1:2" ht="11.25">
      <c r="A136" s="28"/>
      <c r="B136" s="91"/>
    </row>
    <row r="137" spans="1:2" ht="11.25">
      <c r="A137" s="28"/>
      <c r="B137" s="91"/>
    </row>
    <row r="138" spans="1:2" ht="11.25">
      <c r="A138" s="28"/>
      <c r="B138" s="91"/>
    </row>
    <row r="139" spans="1:2" ht="11.25">
      <c r="A139" s="28"/>
      <c r="B139" s="91"/>
    </row>
    <row r="140" spans="1:2" ht="11.25">
      <c r="A140" s="28"/>
      <c r="B140" s="91"/>
    </row>
    <row r="141" spans="1:2" ht="11.25">
      <c r="A141" s="28"/>
      <c r="B141" s="91"/>
    </row>
    <row r="142" spans="1:2" ht="11.25">
      <c r="A142" s="28"/>
      <c r="B142" s="91"/>
    </row>
    <row r="143" spans="1:2" ht="11.25">
      <c r="A143" s="28"/>
      <c r="B143" s="91"/>
    </row>
    <row r="144" spans="1:2" ht="11.25">
      <c r="A144" s="28"/>
      <c r="B144" s="91"/>
    </row>
    <row r="145" spans="1:2" ht="11.25">
      <c r="A145" s="28"/>
      <c r="B145" s="91"/>
    </row>
    <row r="146" spans="1:2" ht="11.25">
      <c r="A146" s="28"/>
      <c r="B146" s="91"/>
    </row>
    <row r="147" spans="1:2" ht="11.25">
      <c r="A147" s="28"/>
      <c r="B147" s="91"/>
    </row>
    <row r="148" spans="1:2" ht="11.25">
      <c r="A148" s="28"/>
      <c r="B148" s="91"/>
    </row>
    <row r="149" spans="1:2" ht="11.25">
      <c r="A149" s="28"/>
      <c r="B149" s="91"/>
    </row>
    <row r="150" spans="1:2" ht="11.25">
      <c r="A150" s="28"/>
      <c r="B150" s="91"/>
    </row>
    <row r="151" spans="1:2" ht="11.25">
      <c r="A151" s="28"/>
      <c r="B151" s="91"/>
    </row>
    <row r="152" spans="1:2" ht="11.25">
      <c r="A152" s="28"/>
      <c r="B152" s="91"/>
    </row>
    <row r="153" spans="1:2" ht="11.25">
      <c r="A153" s="28"/>
      <c r="B153" s="91"/>
    </row>
    <row r="154" spans="1:2" ht="11.25">
      <c r="A154" s="28"/>
      <c r="B154" s="91"/>
    </row>
    <row r="155" spans="1:2" ht="11.25">
      <c r="A155" s="28"/>
      <c r="B155" s="91"/>
    </row>
    <row r="156" spans="1:2" ht="11.25">
      <c r="A156" s="28"/>
      <c r="B156" s="91"/>
    </row>
    <row r="157" spans="1:2" ht="11.25">
      <c r="A157" s="28"/>
      <c r="B157" s="91"/>
    </row>
    <row r="158" spans="1:2" ht="11.25">
      <c r="A158" s="28"/>
      <c r="B158" s="91"/>
    </row>
    <row r="159" spans="1:2" ht="11.25">
      <c r="A159" s="28"/>
      <c r="B159" s="91"/>
    </row>
    <row r="160" spans="1:2" ht="11.25">
      <c r="A160" s="28"/>
      <c r="B160" s="91"/>
    </row>
    <row r="161" spans="1:2" ht="11.25">
      <c r="A161" s="28"/>
      <c r="B161" s="91"/>
    </row>
    <row r="162" spans="1:2" ht="11.25">
      <c r="A162" s="28"/>
      <c r="B162" s="91"/>
    </row>
    <row r="163" spans="1:2" ht="11.25">
      <c r="A163" s="28"/>
      <c r="B163" s="91"/>
    </row>
    <row r="164" spans="1:2" ht="11.25">
      <c r="A164" s="28"/>
      <c r="B164" s="91"/>
    </row>
    <row r="165" spans="1:2" ht="11.25">
      <c r="A165" s="28"/>
      <c r="B165" s="91"/>
    </row>
    <row r="166" spans="1:2" ht="11.25">
      <c r="A166" s="28"/>
      <c r="B166" s="91"/>
    </row>
    <row r="167" spans="1:2" ht="11.25">
      <c r="A167" s="28"/>
      <c r="B167" s="91"/>
    </row>
    <row r="168" spans="1:2" ht="11.25">
      <c r="A168" s="28"/>
      <c r="B168" s="91"/>
    </row>
    <row r="169" spans="1:2" ht="11.25">
      <c r="A169" s="28"/>
      <c r="B169" s="91"/>
    </row>
    <row r="170" spans="1:2" ht="11.25">
      <c r="A170" s="28"/>
      <c r="B170" s="91"/>
    </row>
    <row r="171" spans="1:2" ht="11.25">
      <c r="A171" s="28"/>
      <c r="B171" s="91"/>
    </row>
    <row r="172" spans="1:2" ht="11.25">
      <c r="A172" s="28"/>
      <c r="B172" s="91"/>
    </row>
    <row r="173" spans="1:2" ht="11.25">
      <c r="A173" s="28"/>
      <c r="B173" s="91"/>
    </row>
    <row r="174" spans="1:2" ht="11.25">
      <c r="A174" s="28"/>
      <c r="B174" s="91"/>
    </row>
    <row r="175" spans="1:2" ht="11.25">
      <c r="A175" s="28"/>
      <c r="B175" s="91"/>
    </row>
    <row r="176" spans="1:2" ht="11.25">
      <c r="A176" s="28"/>
      <c r="B176" s="91"/>
    </row>
    <row r="177" spans="1:2" ht="11.25">
      <c r="A177" s="28"/>
      <c r="B177" s="91"/>
    </row>
    <row r="178" spans="1:2" ht="11.25">
      <c r="A178" s="28"/>
      <c r="B178" s="91"/>
    </row>
    <row r="179" spans="1:2" ht="11.25">
      <c r="A179" s="28"/>
      <c r="B179" s="91"/>
    </row>
    <row r="180" spans="1:2" ht="11.25">
      <c r="A180" s="28"/>
      <c r="B180" s="91"/>
    </row>
    <row r="181" spans="1:2" ht="11.25">
      <c r="A181" s="28"/>
      <c r="B181" s="91"/>
    </row>
    <row r="182" spans="1:2" ht="11.25">
      <c r="A182" s="28"/>
      <c r="B182" s="91"/>
    </row>
    <row r="183" spans="1:2" ht="11.25">
      <c r="A183" s="28"/>
      <c r="B183" s="91"/>
    </row>
    <row r="184" spans="1:2" ht="11.25">
      <c r="A184" s="28"/>
      <c r="B184" s="91"/>
    </row>
    <row r="185" spans="1:2" ht="11.25">
      <c r="A185" s="28"/>
      <c r="B185" s="91"/>
    </row>
    <row r="186" spans="1:2" ht="11.25">
      <c r="A186" s="28"/>
      <c r="B186" s="91"/>
    </row>
    <row r="187" spans="1:2" ht="11.25">
      <c r="A187" s="28"/>
      <c r="B187" s="91"/>
    </row>
    <row r="188" spans="1:2" ht="11.25">
      <c r="A188" s="28"/>
      <c r="B188" s="91"/>
    </row>
    <row r="189" spans="1:2" ht="11.25">
      <c r="A189" s="28"/>
      <c r="B189" s="91"/>
    </row>
    <row r="190" spans="1:2" ht="11.25">
      <c r="A190" s="28"/>
      <c r="B190" s="91"/>
    </row>
    <row r="191" spans="1:2" ht="11.25">
      <c r="A191" s="28"/>
      <c r="B191" s="91"/>
    </row>
    <row r="192" spans="1:2" ht="11.25">
      <c r="A192" s="28"/>
      <c r="B192" s="91"/>
    </row>
    <row r="193" spans="1:2" ht="11.25">
      <c r="A193" s="28"/>
      <c r="B193" s="91"/>
    </row>
    <row r="194" spans="1:2" ht="11.25">
      <c r="A194" s="28"/>
      <c r="B194" s="91"/>
    </row>
    <row r="195" spans="1:2" ht="11.25">
      <c r="A195" s="28"/>
      <c r="B195" s="91"/>
    </row>
    <row r="196" spans="1:2" ht="11.25">
      <c r="A196" s="28"/>
      <c r="B196" s="91"/>
    </row>
    <row r="197" spans="1:2" ht="11.25">
      <c r="A197" s="28"/>
      <c r="B197" s="91"/>
    </row>
    <row r="198" spans="1:2" ht="11.25">
      <c r="A198" s="28"/>
      <c r="B198" s="91"/>
    </row>
    <row r="199" spans="1:2" ht="11.25">
      <c r="A199" s="28"/>
      <c r="B199" s="91"/>
    </row>
    <row r="200" spans="1:2" ht="11.25">
      <c r="A200" s="28"/>
      <c r="B200" s="91"/>
    </row>
    <row r="201" spans="1:2" ht="11.25">
      <c r="A201" s="28"/>
      <c r="B201" s="91"/>
    </row>
    <row r="202" spans="1:2" ht="11.25">
      <c r="A202" s="28"/>
      <c r="B202" s="91"/>
    </row>
    <row r="203" spans="1:2" ht="11.25">
      <c r="A203" s="28"/>
      <c r="B203" s="91"/>
    </row>
    <row r="204" spans="1:2" ht="11.25">
      <c r="A204" s="28"/>
      <c r="B204" s="91"/>
    </row>
    <row r="205" spans="1:2" ht="11.25">
      <c r="A205" s="28"/>
      <c r="B205" s="91"/>
    </row>
    <row r="206" spans="1:2" ht="11.25">
      <c r="A206" s="28"/>
      <c r="B206" s="91"/>
    </row>
    <row r="207" spans="1:2" ht="11.25">
      <c r="A207" s="28"/>
      <c r="B207" s="91"/>
    </row>
    <row r="208" spans="1:2" ht="11.25">
      <c r="A208" s="28"/>
      <c r="B208" s="91"/>
    </row>
    <row r="209" spans="1:2" ht="11.25">
      <c r="A209" s="28"/>
      <c r="B209" s="91"/>
    </row>
    <row r="210" spans="1:2" ht="11.25">
      <c r="A210" s="28"/>
      <c r="B210" s="91"/>
    </row>
    <row r="211" spans="1:2" ht="11.25">
      <c r="A211" s="28"/>
      <c r="B211" s="91"/>
    </row>
    <row r="212" spans="1:2" ht="11.25">
      <c r="A212" s="28"/>
      <c r="B212" s="91"/>
    </row>
    <row r="213" spans="1:2" ht="11.25">
      <c r="A213" s="28"/>
      <c r="B213" s="91"/>
    </row>
    <row r="214" spans="1:2" ht="11.25">
      <c r="A214" s="28"/>
      <c r="B214" s="91"/>
    </row>
    <row r="215" spans="1:2" ht="11.25">
      <c r="A215" s="28"/>
      <c r="B215" s="91"/>
    </row>
    <row r="216" spans="1:2" ht="11.25">
      <c r="A216" s="28"/>
      <c r="B216" s="91"/>
    </row>
    <row r="217" spans="1:2" ht="11.25">
      <c r="A217" s="28"/>
      <c r="B217" s="91"/>
    </row>
    <row r="218" spans="1:2" ht="11.25">
      <c r="A218" s="28"/>
      <c r="B218" s="91"/>
    </row>
    <row r="219" spans="1:2" ht="11.25">
      <c r="A219" s="28"/>
      <c r="B219" s="91"/>
    </row>
    <row r="220" spans="1:2" ht="11.25">
      <c r="A220" s="28"/>
      <c r="B220" s="91"/>
    </row>
    <row r="221" spans="1:2" ht="11.25">
      <c r="A221" s="28"/>
      <c r="B221" s="91"/>
    </row>
    <row r="222" spans="1:2" ht="11.25">
      <c r="A222" s="28"/>
      <c r="B222" s="91"/>
    </row>
    <row r="223" spans="1:2" ht="11.25">
      <c r="A223" s="28"/>
      <c r="B223" s="91"/>
    </row>
    <row r="224" spans="1:2" ht="11.25">
      <c r="A224" s="28"/>
      <c r="B224" s="91"/>
    </row>
    <row r="225" spans="1:2" ht="11.25">
      <c r="A225" s="28"/>
      <c r="B225" s="91"/>
    </row>
    <row r="226" spans="1:2" ht="11.25">
      <c r="A226" s="28"/>
      <c r="B226" s="91"/>
    </row>
    <row r="227" spans="1:2" ht="11.25">
      <c r="A227" s="28"/>
      <c r="B227" s="91"/>
    </row>
    <row r="228" spans="1:2" ht="11.25">
      <c r="A228" s="28"/>
      <c r="B228" s="91"/>
    </row>
    <row r="229" spans="1:2" ht="11.25">
      <c r="A229" s="28"/>
      <c r="B229" s="91"/>
    </row>
    <row r="230" spans="1:2" ht="11.25">
      <c r="A230" s="28"/>
      <c r="B230" s="91"/>
    </row>
    <row r="231" spans="1:2" ht="11.25">
      <c r="A231" s="28"/>
      <c r="B231" s="91"/>
    </row>
    <row r="232" spans="1:2" ht="11.25">
      <c r="A232" s="28"/>
      <c r="B232" s="91"/>
    </row>
    <row r="233" spans="1:2" ht="11.25">
      <c r="A233" s="28"/>
      <c r="B233" s="91"/>
    </row>
    <row r="234" spans="1:2" ht="11.25">
      <c r="A234" s="28"/>
      <c r="B234" s="91"/>
    </row>
    <row r="235" spans="1:2" ht="11.25">
      <c r="A235" s="28"/>
      <c r="B235" s="91"/>
    </row>
    <row r="236" spans="1:2" ht="11.25">
      <c r="A236" s="28"/>
      <c r="B236" s="91"/>
    </row>
    <row r="237" spans="1:2" ht="11.25">
      <c r="A237" s="28"/>
      <c r="B237" s="91"/>
    </row>
    <row r="238" spans="1:2" ht="11.25">
      <c r="A238" s="28"/>
      <c r="B238" s="91"/>
    </row>
    <row r="239" spans="1:2" ht="11.25">
      <c r="A239" s="28"/>
      <c r="B239" s="91"/>
    </row>
    <row r="240" spans="1:2" ht="11.25">
      <c r="A240" s="28"/>
      <c r="B240" s="91"/>
    </row>
    <row r="241" spans="1:2" ht="11.25">
      <c r="A241" s="28"/>
      <c r="B241" s="9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workbookViewId="0" topLeftCell="A1">
      <selection activeCell="H20" sqref="H20"/>
    </sheetView>
  </sheetViews>
  <sheetFormatPr defaultColWidth="9.140625" defaultRowHeight="12.75"/>
  <cols>
    <col min="1" max="1" width="8.8515625" style="2" customWidth="1"/>
    <col min="2" max="2" width="6.140625" style="40" customWidth="1"/>
    <col min="3" max="3" width="5.7109375" style="41" customWidth="1"/>
    <col min="4" max="4" width="37.57421875" style="42" customWidth="1"/>
    <col min="5" max="5" width="6.00390625" style="43" bestFit="1" customWidth="1"/>
    <col min="6" max="6" width="6.28125" style="68" customWidth="1"/>
    <col min="7" max="7" width="3.57421875" style="68" customWidth="1"/>
    <col min="8" max="8" width="3.421875" style="68" customWidth="1"/>
    <col min="9" max="9" width="2.57421875" style="44" customWidth="1"/>
    <col min="10" max="10" width="17.421875" style="0" bestFit="1" customWidth="1"/>
    <col min="11" max="11" width="5.8515625" style="0" bestFit="1" customWidth="1"/>
    <col min="12" max="16384" width="11.421875" style="0" customWidth="1"/>
  </cols>
  <sheetData>
    <row r="1" spans="2:9" ht="3" customHeight="1">
      <c r="B1"/>
      <c r="C1" s="28"/>
      <c r="D1" s="33"/>
      <c r="E1" s="34"/>
      <c r="F1" s="35"/>
      <c r="G1" s="35"/>
      <c r="H1" s="35"/>
      <c r="I1" s="36"/>
    </row>
    <row r="2" spans="2:9" ht="13.5">
      <c r="B2"/>
      <c r="C2" s="28"/>
      <c r="D2" s="37" t="s">
        <v>82</v>
      </c>
      <c r="E2" s="38"/>
      <c r="F2" s="2"/>
      <c r="G2" s="2"/>
      <c r="H2" s="2"/>
      <c r="I2"/>
    </row>
    <row r="3" spans="2:9" ht="13.5">
      <c r="B3"/>
      <c r="C3" s="28"/>
      <c r="D3" s="3"/>
      <c r="E3" s="38"/>
      <c r="F3" s="2"/>
      <c r="G3" s="2"/>
      <c r="H3" s="2"/>
      <c r="I3"/>
    </row>
    <row r="4" spans="1:9" ht="13.5">
      <c r="A4"/>
      <c r="B4"/>
      <c r="C4"/>
      <c r="D4" s="325" t="s">
        <v>142</v>
      </c>
      <c r="E4" s="223"/>
      <c r="F4" s="3"/>
      <c r="G4" s="3"/>
      <c r="H4" s="3"/>
      <c r="I4"/>
    </row>
    <row r="5" spans="1:9" ht="6" customHeight="1">
      <c r="A5"/>
      <c r="B5"/>
      <c r="C5"/>
      <c r="D5" s="39"/>
      <c r="E5" s="223"/>
      <c r="F5" s="3"/>
      <c r="G5" s="3"/>
      <c r="H5" s="3"/>
      <c r="I5"/>
    </row>
    <row r="6" spans="6:8" ht="6" customHeight="1">
      <c r="F6" s="44"/>
      <c r="G6" s="44"/>
      <c r="H6" s="44"/>
    </row>
    <row r="7" spans="2:9" ht="13.5">
      <c r="B7" s="45"/>
      <c r="C7" s="46"/>
      <c r="D7" s="47" t="s">
        <v>143</v>
      </c>
      <c r="E7" s="38"/>
      <c r="F7" s="48"/>
      <c r="G7" s="48"/>
      <c r="H7" s="48"/>
      <c r="I7" s="48"/>
    </row>
    <row r="8" spans="1:10" ht="13.5">
      <c r="A8" s="49"/>
      <c r="B8" s="45"/>
      <c r="C8" s="46"/>
      <c r="D8" s="50"/>
      <c r="E8" s="38"/>
      <c r="F8" s="48"/>
      <c r="G8" s="48"/>
      <c r="H8" s="48"/>
      <c r="I8" s="48"/>
      <c r="J8" s="1"/>
    </row>
    <row r="9" spans="1:11" ht="13.5">
      <c r="A9" s="51">
        <f>(ROW(A9)-6)/3</f>
        <v>1</v>
      </c>
      <c r="B9" s="52" t="s">
        <v>138</v>
      </c>
      <c r="C9" s="53">
        <v>10</v>
      </c>
      <c r="D9" s="71" t="str">
        <f>VLOOKUP($C9,DosF2C!$B$7:$E$100,2)</f>
        <v>BARRAGAN A. / BARRAGAN J.</v>
      </c>
      <c r="E9" s="72">
        <f>VLOOKUP($C9,DosF2C!$B$7:$E$100,3)</f>
        <v>0</v>
      </c>
      <c r="F9" s="73" t="str">
        <f>VLOOKUP($C9,DosF2C!$B$7:$E$100,4)</f>
        <v>ESP</v>
      </c>
      <c r="G9" s="87" t="s">
        <v>157</v>
      </c>
      <c r="H9" s="87"/>
      <c r="I9" s="56"/>
      <c r="J9" s="57"/>
      <c r="K9" s="423" t="s">
        <v>237</v>
      </c>
    </row>
    <row r="10" spans="1:11" ht="12.75">
      <c r="A10" s="58">
        <v>0.5833333333333334</v>
      </c>
      <c r="B10" s="59" t="s">
        <v>139</v>
      </c>
      <c r="C10" s="60">
        <v>40</v>
      </c>
      <c r="D10" s="74" t="str">
        <f>VLOOKUP($C10,DosF2C!$B$7:$E$100,2)</f>
        <v>SAMUELSSON B. O. / AXTILIUS K.</v>
      </c>
      <c r="E10" s="75">
        <f>VLOOKUP($C10,DosF2C!$B$7:$E$100,3)</f>
        <v>0</v>
      </c>
      <c r="F10" s="76" t="str">
        <f>VLOOKUP($C10,DosF2C!$B$7:$E$100,4)</f>
        <v>SWE</v>
      </c>
      <c r="G10" s="87" t="s">
        <v>186</v>
      </c>
      <c r="H10" s="87" t="s">
        <v>162</v>
      </c>
      <c r="I10" s="56"/>
      <c r="J10" s="63"/>
      <c r="K10" s="423" t="s">
        <v>238</v>
      </c>
    </row>
    <row r="11" spans="1:11" ht="12.75">
      <c r="A11" s="64"/>
      <c r="B11" s="65" t="s">
        <v>140</v>
      </c>
      <c r="C11" s="66">
        <v>13</v>
      </c>
      <c r="D11" s="77" t="str">
        <f>VLOOKUP($C11,DosF2C!$B$7:$E$100,2)</f>
        <v>MARET J. / PERRET J.P.</v>
      </c>
      <c r="E11" s="79">
        <f>VLOOKUP($C11,DosF2C!$B$7:$E$100,3)</f>
        <v>0</v>
      </c>
      <c r="F11" s="78" t="str">
        <f>VLOOKUP($C11,DosF2C!$B$7:$E$100,4)</f>
        <v>FRA</v>
      </c>
      <c r="G11" s="87" t="s">
        <v>186</v>
      </c>
      <c r="H11" s="87" t="s">
        <v>186</v>
      </c>
      <c r="I11" s="56"/>
      <c r="J11" s="67"/>
      <c r="K11" s="423" t="s">
        <v>215</v>
      </c>
    </row>
    <row r="12" spans="1:11" ht="13.5">
      <c r="A12" s="51">
        <f>(ROW(A12)-6)/3</f>
        <v>2</v>
      </c>
      <c r="B12" s="52" t="s">
        <v>138</v>
      </c>
      <c r="C12" s="53">
        <v>50</v>
      </c>
      <c r="D12" s="71" t="str">
        <f>VLOOKUP($C12,DosF2C!$B$7:$E$100,2)</f>
        <v>BALLARD J. / LAMBERT D.</v>
      </c>
      <c r="E12" s="72">
        <f>VLOOKUP($C12,DosF2C!$B$7:$E$100,3)</f>
        <v>0</v>
      </c>
      <c r="F12" s="73" t="str">
        <f>VLOOKUP($C12,DosF2C!$B$7:$E$100,4)</f>
        <v>USA</v>
      </c>
      <c r="G12" s="87"/>
      <c r="H12" s="87"/>
      <c r="I12" s="56"/>
      <c r="J12" s="57" t="s">
        <v>236</v>
      </c>
      <c r="K12" s="423" t="s">
        <v>225</v>
      </c>
    </row>
    <row r="13" spans="1:11" ht="12.75">
      <c r="A13" s="58">
        <f>A10+$A$73</f>
        <v>0.5916666666666667</v>
      </c>
      <c r="B13" s="59" t="s">
        <v>139</v>
      </c>
      <c r="C13" s="60">
        <v>46</v>
      </c>
      <c r="D13" s="74" t="str">
        <f>VLOOKUP($C13,DosF2C!$B$7:$E$100,2)</f>
        <v>BEZMERTNY Y. / FULITKA V.</v>
      </c>
      <c r="E13" s="75">
        <f>VLOOKUP($C13,DosF2C!$B$7:$E$100,3)</f>
        <v>0</v>
      </c>
      <c r="F13" s="76" t="str">
        <f>VLOOKUP($C13,DosF2C!$B$7:$E$100,4)</f>
        <v>UKR</v>
      </c>
      <c r="G13" s="87"/>
      <c r="H13" s="87"/>
      <c r="I13" s="56"/>
      <c r="J13" s="63" t="s">
        <v>224</v>
      </c>
      <c r="K13" s="423"/>
    </row>
    <row r="14" spans="1:11" ht="12.75">
      <c r="A14" s="64"/>
      <c r="B14" s="65" t="s">
        <v>140</v>
      </c>
      <c r="C14" s="66">
        <v>32</v>
      </c>
      <c r="D14" s="77" t="str">
        <f>VLOOKUP($C14,DosF2C!$B$7:$E$100,2)</f>
        <v>CHABACHOV J. / MOSKALEEV S.</v>
      </c>
      <c r="E14" s="79">
        <f>VLOOKUP($C14,DosF2C!$B$7:$E$100,3)</f>
        <v>0</v>
      </c>
      <c r="F14" s="78" t="str">
        <f>VLOOKUP($C14,DosF2C!$B$7:$E$100,4)</f>
        <v>RUS</v>
      </c>
      <c r="G14" s="87"/>
      <c r="H14" s="87"/>
      <c r="I14" s="56"/>
      <c r="J14" s="63" t="s">
        <v>224</v>
      </c>
      <c r="K14" s="423"/>
    </row>
    <row r="15" spans="1:11" ht="13.5">
      <c r="A15" s="51">
        <f>(ROW(A15)-6)/3</f>
        <v>3</v>
      </c>
      <c r="B15" s="52" t="s">
        <v>138</v>
      </c>
      <c r="C15" s="53">
        <v>33</v>
      </c>
      <c r="D15" s="71" t="str">
        <f>VLOOKUP($C15,DosF2C!$B$7:$E$100,2)</f>
        <v>SURKOV O. / BALEZINE V.</v>
      </c>
      <c r="E15" s="72">
        <f>VLOOKUP($C15,DosF2C!$B$7:$E$100,3)</f>
        <v>0</v>
      </c>
      <c r="F15" s="73" t="str">
        <f>VLOOKUP($C15,DosF2C!$B$7:$E$100,4)</f>
        <v>RUS</v>
      </c>
      <c r="G15" s="87"/>
      <c r="H15" s="87"/>
      <c r="I15" s="56"/>
      <c r="J15" s="57" t="s">
        <v>158</v>
      </c>
      <c r="K15" s="423"/>
    </row>
    <row r="16" spans="1:11" ht="12.75">
      <c r="A16" s="58">
        <f>A13+$A$73</f>
        <v>0.6</v>
      </c>
      <c r="B16" s="59" t="s">
        <v>139</v>
      </c>
      <c r="C16" s="60">
        <v>26</v>
      </c>
      <c r="D16" s="74" t="str">
        <f>VLOOKUP($C16,DosF2C!$B$7:$E$100,2)</f>
        <v>MARTINI G. / MENOZZI M.</v>
      </c>
      <c r="E16" s="75">
        <f>VLOOKUP($C16,DosF2C!$B$7:$E$100,3)</f>
        <v>0</v>
      </c>
      <c r="F16" s="76" t="str">
        <f>VLOOKUP($C16,DosF2C!$B$7:$E$100,4)</f>
        <v>ITA</v>
      </c>
      <c r="G16" s="87"/>
      <c r="H16" s="87"/>
      <c r="I16" s="56"/>
      <c r="J16" s="63" t="s">
        <v>158</v>
      </c>
      <c r="K16" s="423"/>
    </row>
    <row r="17" spans="1:11" ht="12.75">
      <c r="A17" s="64"/>
      <c r="B17" s="65" t="s">
        <v>140</v>
      </c>
      <c r="C17" s="66">
        <v>14</v>
      </c>
      <c r="D17" s="77" t="str">
        <f>VLOOKUP($C17,DosF2C!$B$7:$E$100,2)</f>
        <v>DELOR B. / CONSTANT P.</v>
      </c>
      <c r="E17" s="79">
        <f>VLOOKUP($C17,DosF2C!$B$7:$E$100,3)</f>
        <v>0</v>
      </c>
      <c r="F17" s="78" t="str">
        <f>VLOOKUP($C17,DosF2C!$B$7:$E$100,4)</f>
        <v>FRA</v>
      </c>
      <c r="G17" s="87"/>
      <c r="H17" s="87"/>
      <c r="I17" s="56"/>
      <c r="J17" s="67" t="s">
        <v>239</v>
      </c>
      <c r="K17" s="423" t="s">
        <v>159</v>
      </c>
    </row>
    <row r="18" spans="1:11" ht="13.5">
      <c r="A18" s="51">
        <f>(ROW(A18)-6)/3</f>
        <v>4</v>
      </c>
      <c r="B18" s="52" t="s">
        <v>138</v>
      </c>
      <c r="C18" s="53">
        <v>11</v>
      </c>
      <c r="D18" s="71" t="str">
        <f>VLOOKUP($C18,DosF2C!$B$7:$E$100,2)</f>
        <v>CRESPI M. / CRESPI P.</v>
      </c>
      <c r="E18" s="72">
        <f>VLOOKUP($C18,DosF2C!$B$7:$E$100,3)</f>
        <v>0</v>
      </c>
      <c r="F18" s="73" t="str">
        <f>VLOOKUP($C18,DosF2C!$B$7:$E$100,4)</f>
        <v>ESP</v>
      </c>
      <c r="G18" s="87" t="s">
        <v>161</v>
      </c>
      <c r="H18" s="87" t="s">
        <v>157</v>
      </c>
      <c r="I18" s="56"/>
      <c r="J18" s="57"/>
      <c r="K18" s="423" t="s">
        <v>240</v>
      </c>
    </row>
    <row r="19" spans="1:11" ht="12.75">
      <c r="A19" s="58">
        <f>A16+$A$73</f>
        <v>0.6083333333333333</v>
      </c>
      <c r="B19" s="59" t="s">
        <v>139</v>
      </c>
      <c r="C19" s="60">
        <v>49</v>
      </c>
      <c r="D19" s="74" t="str">
        <f>VLOOKUP($C19,DosF2C!$B$7:$E$100,2)</f>
        <v>ASCHER A. / ASCHER L.</v>
      </c>
      <c r="E19" s="75">
        <f>VLOOKUP($C19,DosF2C!$B$7:$E$100,3)</f>
        <v>0</v>
      </c>
      <c r="F19" s="76" t="str">
        <f>VLOOKUP($C19,DosF2C!$B$7:$E$100,4)</f>
        <v>USA</v>
      </c>
      <c r="G19" s="87" t="s">
        <v>162</v>
      </c>
      <c r="H19" s="87" t="s">
        <v>299</v>
      </c>
      <c r="I19" s="56"/>
      <c r="J19" s="63"/>
      <c r="K19" s="423" t="s">
        <v>209</v>
      </c>
    </row>
    <row r="20" spans="1:11" ht="12.75">
      <c r="A20" s="64"/>
      <c r="B20" s="65" t="s">
        <v>140</v>
      </c>
      <c r="C20" s="66">
        <v>15</v>
      </c>
      <c r="D20" s="77" t="str">
        <f>VLOOKUP($C20,DosF2C!$B$7:$E$100,2)</f>
        <v>SURUGUE P. / SURUGUE G.</v>
      </c>
      <c r="E20" s="79">
        <f>VLOOKUP($C20,DosF2C!$B$7:$E$100,3)</f>
        <v>0</v>
      </c>
      <c r="F20" s="78" t="str">
        <f>VLOOKUP($C20,DosF2C!$B$7:$E$100,4)</f>
        <v>FRA</v>
      </c>
      <c r="G20" s="87" t="s">
        <v>162</v>
      </c>
      <c r="H20" s="87"/>
      <c r="I20" s="56"/>
      <c r="J20" s="67"/>
      <c r="K20" s="423" t="s">
        <v>241</v>
      </c>
    </row>
    <row r="21" spans="1:11" ht="13.5">
      <c r="A21" s="51">
        <f>(ROW(A21)-6)/3</f>
        <v>5</v>
      </c>
      <c r="B21" s="52" t="s">
        <v>138</v>
      </c>
      <c r="C21" s="53">
        <v>31</v>
      </c>
      <c r="D21" s="71" t="str">
        <f>VLOOKUP($C21,DosF2C!$B$7:$E$100,2)</f>
        <v>MORTINHO A. / GOULAO J.</v>
      </c>
      <c r="E21" s="72">
        <f>VLOOKUP($C21,DosF2C!$B$7:$E$100,3)</f>
        <v>0</v>
      </c>
      <c r="F21" s="73" t="str">
        <f>VLOOKUP($C21,DosF2C!$B$7:$E$100,4)</f>
        <v>POR</v>
      </c>
      <c r="G21" s="87" t="s">
        <v>162</v>
      </c>
      <c r="H21" s="87" t="s">
        <v>160</v>
      </c>
      <c r="I21" s="56"/>
      <c r="J21" s="57"/>
      <c r="K21" s="423" t="s">
        <v>242</v>
      </c>
    </row>
    <row r="22" spans="1:11" ht="12.75">
      <c r="A22" s="58">
        <f>A19+$A$73</f>
        <v>0.6166666666666666</v>
      </c>
      <c r="B22" s="59" t="s">
        <v>139</v>
      </c>
      <c r="C22" s="60">
        <v>18</v>
      </c>
      <c r="D22" s="74" t="str">
        <f>VLOOKUP($C22,DosF2C!$B$7:$E$100,2)</f>
        <v>MARSCHALL H./ KUCKELKORN F.</v>
      </c>
      <c r="E22" s="75">
        <f>VLOOKUP($C22,DosF2C!$B$7:$E$100,3)</f>
        <v>0</v>
      </c>
      <c r="F22" s="76" t="str">
        <f>VLOOKUP($C22,DosF2C!$B$7:$E$100,4)</f>
        <v>GER</v>
      </c>
      <c r="G22" s="87" t="s">
        <v>160</v>
      </c>
      <c r="H22" s="87" t="s">
        <v>157</v>
      </c>
      <c r="I22" s="56"/>
      <c r="J22" s="63"/>
      <c r="K22" s="423" t="s">
        <v>243</v>
      </c>
    </row>
    <row r="23" spans="1:11" ht="12.75">
      <c r="A23" s="64"/>
      <c r="B23" s="65" t="s">
        <v>140</v>
      </c>
      <c r="C23" s="66">
        <v>4</v>
      </c>
      <c r="D23" s="77" t="str">
        <f>VLOOKUP($C23,DosF2C!$B$7:$E$100,2)</f>
        <v>WILSON G. / STEIN P.</v>
      </c>
      <c r="E23" s="79">
        <f>VLOOKUP($C23,DosF2C!$B$7:$E$100,3)</f>
        <v>0</v>
      </c>
      <c r="F23" s="78" t="str">
        <f>VLOOKUP($C23,DosF2C!$B$7:$E$100,4)</f>
        <v>AUS</v>
      </c>
      <c r="G23" s="87"/>
      <c r="H23" s="87"/>
      <c r="I23" s="56"/>
      <c r="J23" s="67"/>
      <c r="K23" s="423" t="s">
        <v>244</v>
      </c>
    </row>
    <row r="24" spans="1:11" ht="13.5">
      <c r="A24" s="51">
        <f>(ROW(A24)-6)/3</f>
        <v>6</v>
      </c>
      <c r="B24" s="52" t="s">
        <v>138</v>
      </c>
      <c r="C24" s="53">
        <v>44</v>
      </c>
      <c r="D24" s="71" t="str">
        <f>VLOOKUP($C24,DosF2C!$B$7:$E$100,2)</f>
        <v>GIGER P. / STUDER H.</v>
      </c>
      <c r="E24" s="72">
        <f>VLOOKUP($C24,DosF2C!$B$7:$E$100,3)</f>
        <v>0</v>
      </c>
      <c r="F24" s="73" t="str">
        <f>VLOOKUP($C24,DosF2C!$B$7:$E$100,4)</f>
        <v>SUI</v>
      </c>
      <c r="G24" s="87" t="s">
        <v>162</v>
      </c>
      <c r="H24" s="87"/>
      <c r="I24" s="56"/>
      <c r="J24" s="57" t="s">
        <v>246</v>
      </c>
      <c r="K24" s="423"/>
    </row>
    <row r="25" spans="1:11" ht="12.75">
      <c r="A25" s="58">
        <f>A22+$A$73</f>
        <v>0.6249999999999999</v>
      </c>
      <c r="B25" s="59" t="s">
        <v>139</v>
      </c>
      <c r="C25" s="60">
        <v>6</v>
      </c>
      <c r="D25" s="74" t="str">
        <f>VLOOKUP($C25,DosF2C!$B$7:$E$100,2)</f>
        <v>NITSCHE H. / NITSCHE H.</v>
      </c>
      <c r="E25" s="75">
        <f>VLOOKUP($C25,DosF2C!$B$7:$E$100,3)</f>
        <v>0</v>
      </c>
      <c r="F25" s="76" t="str">
        <f>VLOOKUP($C25,DosF2C!$B$7:$E$100,4)</f>
        <v>AUT</v>
      </c>
      <c r="G25" s="87" t="s">
        <v>157</v>
      </c>
      <c r="H25" s="87" t="s">
        <v>162</v>
      </c>
      <c r="I25" s="56" t="s">
        <v>157</v>
      </c>
      <c r="J25" s="63"/>
      <c r="K25" s="423" t="s">
        <v>159</v>
      </c>
    </row>
    <row r="26" spans="1:11" ht="12.75">
      <c r="A26" s="64"/>
      <c r="B26" s="65" t="s">
        <v>140</v>
      </c>
      <c r="C26" s="66">
        <v>38</v>
      </c>
      <c r="D26" s="77" t="str">
        <f>VLOOKUP($C26,DosF2C!$B$7:$E$100,2)</f>
        <v>SATHA S. / WEE C.</v>
      </c>
      <c r="E26" s="79">
        <f>VLOOKUP($C26,DosF2C!$B$7:$E$100,3)</f>
        <v>0</v>
      </c>
      <c r="F26" s="78" t="str">
        <f>VLOOKUP($C26,DosF2C!$B$7:$E$100,4)</f>
        <v>SIN</v>
      </c>
      <c r="G26" s="87"/>
      <c r="H26" s="87"/>
      <c r="I26" s="56"/>
      <c r="J26" s="67" t="s">
        <v>246</v>
      </c>
      <c r="K26" s="423"/>
    </row>
    <row r="27" spans="1:11" s="1" customFormat="1" ht="12.75">
      <c r="A27" s="49"/>
      <c r="B27" s="40"/>
      <c r="C27" s="41"/>
      <c r="D27" s="86"/>
      <c r="E27" s="34"/>
      <c r="F27" s="87"/>
      <c r="G27" s="87"/>
      <c r="H27" s="87"/>
      <c r="I27" s="56"/>
      <c r="J27" s="86"/>
      <c r="K27" s="423"/>
    </row>
    <row r="28" spans="1:11" ht="13.5">
      <c r="A28" s="51">
        <f>(ROW(A28)-7)/3</f>
        <v>7</v>
      </c>
      <c r="B28" s="52" t="s">
        <v>138</v>
      </c>
      <c r="C28" s="53">
        <v>36</v>
      </c>
      <c r="D28" s="71" t="str">
        <f>VLOOKUP($C28,DosF2C!$B$7:$E$100,2)</f>
        <v>ABDHUL RAMAN N. / NAJIMUDEEN H.</v>
      </c>
      <c r="E28" s="72" t="str">
        <f>VLOOKUP($C28,DosF2C!$B$7:$E$100,3)</f>
        <v>Jun</v>
      </c>
      <c r="F28" s="73" t="str">
        <f>VLOOKUP($C28,DosF2C!$B$7:$E$100,4)</f>
        <v>SIN</v>
      </c>
      <c r="G28" s="87"/>
      <c r="H28" s="87"/>
      <c r="I28" s="56"/>
      <c r="J28" s="57" t="s">
        <v>245</v>
      </c>
      <c r="K28" s="423" t="s">
        <v>159</v>
      </c>
    </row>
    <row r="29" spans="1:11" ht="12.75">
      <c r="A29" s="58">
        <f>A25+2*$A$73</f>
        <v>0.6416666666666666</v>
      </c>
      <c r="B29" s="59" t="s">
        <v>139</v>
      </c>
      <c r="C29" s="60">
        <v>5</v>
      </c>
      <c r="D29" s="74" t="str">
        <f>VLOOKUP($C29,DosF2C!$B$7:$E$100,2)</f>
        <v>FISCHER J. / STRANIAK H.</v>
      </c>
      <c r="E29" s="75">
        <f>VLOOKUP($C29,DosF2C!$B$7:$E$100,3)</f>
        <v>0</v>
      </c>
      <c r="F29" s="76" t="str">
        <f>VLOOKUP($C29,DosF2C!$B$7:$E$100,4)</f>
        <v>AUT</v>
      </c>
      <c r="G29" s="87"/>
      <c r="H29" s="87"/>
      <c r="I29" s="56"/>
      <c r="J29" s="63" t="s">
        <v>158</v>
      </c>
      <c r="K29" s="423"/>
    </row>
    <row r="30" spans="1:11" ht="12.75">
      <c r="A30" s="64"/>
      <c r="B30" s="65" t="s">
        <v>140</v>
      </c>
      <c r="C30" s="66">
        <v>34</v>
      </c>
      <c r="D30" s="77" t="str">
        <f>VLOOKUP($C30,DosF2C!$B$7:$E$100,2)</f>
        <v>TITOV V. / JOUGOV V.</v>
      </c>
      <c r="E30" s="79">
        <f>VLOOKUP($C30,DosF2C!$B$7:$E$100,3)</f>
        <v>0</v>
      </c>
      <c r="F30" s="78" t="str">
        <f>VLOOKUP($C30,DosF2C!$B$7:$E$100,4)</f>
        <v>RUS</v>
      </c>
      <c r="G30" s="87"/>
      <c r="H30" s="87"/>
      <c r="I30" s="56"/>
      <c r="J30" s="67" t="s">
        <v>158</v>
      </c>
      <c r="K30" s="423"/>
    </row>
    <row r="31" spans="1:11" ht="13.5">
      <c r="A31" s="51">
        <f>(ROW(A31)-7)/3</f>
        <v>8</v>
      </c>
      <c r="B31" s="52" t="s">
        <v>138</v>
      </c>
      <c r="C31" s="53">
        <v>16</v>
      </c>
      <c r="D31" s="71" t="str">
        <f>VLOOKUP($C31,DosF2C!$B$7:$E$100,2)</f>
        <v>BUCCI L. / PERRET C.</v>
      </c>
      <c r="E31" s="72" t="str">
        <f>VLOOKUP($C31,DosF2C!$B$7:$E$100,3)</f>
        <v>Jun</v>
      </c>
      <c r="F31" s="73" t="str">
        <f>VLOOKUP($C31,DosF2C!$B$7:$E$100,4)</f>
        <v>FRA</v>
      </c>
      <c r="G31" s="87" t="s">
        <v>157</v>
      </c>
      <c r="H31" s="87" t="s">
        <v>157</v>
      </c>
      <c r="I31" s="56"/>
      <c r="J31" s="57"/>
      <c r="K31" s="423" t="s">
        <v>247</v>
      </c>
    </row>
    <row r="32" spans="1:11" ht="12.75">
      <c r="A32" s="58">
        <f>A29+$A$73</f>
        <v>0.6499999999999999</v>
      </c>
      <c r="B32" s="59" t="s">
        <v>139</v>
      </c>
      <c r="C32" s="60">
        <v>24</v>
      </c>
      <c r="D32" s="74" t="str">
        <f>VLOOKUP($C32,DosF2C!$B$7:$E$100,2)</f>
        <v>PENNISI R. / ROSSI A.</v>
      </c>
      <c r="E32" s="75">
        <f>VLOOKUP($C32,DosF2C!$B$7:$E$100,3)</f>
        <v>0</v>
      </c>
      <c r="F32" s="76" t="str">
        <f>VLOOKUP($C32,DosF2C!$B$7:$E$100,4)</f>
        <v>ITA</v>
      </c>
      <c r="G32" s="87" t="s">
        <v>186</v>
      </c>
      <c r="H32" s="87"/>
      <c r="I32" s="56"/>
      <c r="J32" s="63"/>
      <c r="K32" s="423" t="s">
        <v>181</v>
      </c>
    </row>
    <row r="33" spans="1:11" ht="12.75">
      <c r="A33" s="64"/>
      <c r="B33" s="65" t="s">
        <v>140</v>
      </c>
      <c r="C33" s="66">
        <v>41</v>
      </c>
      <c r="D33" s="77" t="str">
        <f>VLOOKUP($C33,DosF2C!$B$7:$E$100,2)</f>
        <v>GUSTAFSSON J. / BJÖHOLM S.</v>
      </c>
      <c r="E33" s="79">
        <f>VLOOKUP($C33,DosF2C!$B$7:$E$100,3)</f>
        <v>0</v>
      </c>
      <c r="F33" s="78" t="str">
        <f>VLOOKUP($C33,DosF2C!$B$7:$E$100,4)</f>
        <v>SWE</v>
      </c>
      <c r="G33" s="87" t="s">
        <v>157</v>
      </c>
      <c r="H33" s="87" t="s">
        <v>157</v>
      </c>
      <c r="I33" s="56"/>
      <c r="J33" s="67"/>
      <c r="K33" s="423" t="s">
        <v>248</v>
      </c>
    </row>
    <row r="34" spans="1:11" ht="13.5">
      <c r="A34" s="51">
        <f>(ROW(A34)-7)/3</f>
        <v>9</v>
      </c>
      <c r="B34" s="52" t="s">
        <v>138</v>
      </c>
      <c r="C34" s="53">
        <v>37</v>
      </c>
      <c r="D34" s="71" t="str">
        <f>VLOOKUP($C34,DosF2C!$B$7:$E$100,2)</f>
        <v>ONG R. / SU D.</v>
      </c>
      <c r="E34" s="72">
        <f>VLOOKUP($C34,DosF2C!$B$7:$E$100,3)</f>
        <v>0</v>
      </c>
      <c r="F34" s="73" t="str">
        <f>VLOOKUP($C34,DosF2C!$B$7:$E$100,4)</f>
        <v>SIN</v>
      </c>
      <c r="G34" s="87" t="s">
        <v>162</v>
      </c>
      <c r="H34" s="87"/>
      <c r="I34" s="56"/>
      <c r="J34" s="57" t="s">
        <v>158</v>
      </c>
      <c r="K34" s="423"/>
    </row>
    <row r="35" spans="1:11" ht="12.75">
      <c r="A35" s="58">
        <f>A32+$A$73</f>
        <v>0.6583333333333332</v>
      </c>
      <c r="B35" s="59" t="s">
        <v>139</v>
      </c>
      <c r="C35" s="60">
        <v>17</v>
      </c>
      <c r="D35" s="74" t="str">
        <f>VLOOKUP($C35,DosF2C!$B$7:$E$100,2)</f>
        <v>LINDEMANN R. / KIEL U.</v>
      </c>
      <c r="E35" s="75">
        <f>VLOOKUP($C35,DosF2C!$B$7:$E$100,3)</f>
        <v>0</v>
      </c>
      <c r="F35" s="76" t="str">
        <f>VLOOKUP($C35,DosF2C!$B$7:$E$100,4)</f>
        <v>GER</v>
      </c>
      <c r="G35" s="87" t="s">
        <v>157</v>
      </c>
      <c r="H35" s="87"/>
      <c r="I35" s="56"/>
      <c r="J35" s="63" t="s">
        <v>249</v>
      </c>
      <c r="K35" s="423" t="s">
        <v>159</v>
      </c>
    </row>
    <row r="36" spans="1:11" ht="12.75">
      <c r="A36" s="64"/>
      <c r="B36" s="65" t="s">
        <v>140</v>
      </c>
      <c r="C36" s="66">
        <v>21</v>
      </c>
      <c r="D36" s="77" t="str">
        <f>VLOOKUP($C36,DosF2C!$B$7:$E$100,2)</f>
        <v>SMITH S. / BROWN C.</v>
      </c>
      <c r="E36" s="79">
        <f>VLOOKUP($C36,DosF2C!$B$7:$E$100,3)</f>
        <v>0</v>
      </c>
      <c r="F36" s="78" t="str">
        <f>VLOOKUP($C36,DosF2C!$B$7:$E$100,4)</f>
        <v>GBR</v>
      </c>
      <c r="G36" s="87" t="s">
        <v>160</v>
      </c>
      <c r="H36" s="87" t="s">
        <v>219</v>
      </c>
      <c r="I36" s="56"/>
      <c r="J36" s="67"/>
      <c r="K36" s="423" t="s">
        <v>250</v>
      </c>
    </row>
    <row r="37" spans="1:11" ht="13.5">
      <c r="A37" s="51">
        <f>(ROW(A37)-7)/3</f>
        <v>10</v>
      </c>
      <c r="B37" s="52" t="s">
        <v>138</v>
      </c>
      <c r="C37" s="53">
        <v>45</v>
      </c>
      <c r="D37" s="71" t="str">
        <f>VLOOKUP($C37,DosF2C!$B$7:$E$100,2)</f>
        <v>BONDARENKO Y. / LERNER S.</v>
      </c>
      <c r="E37" s="72">
        <f>VLOOKUP($C37,DosF2C!$B$7:$E$100,3)</f>
        <v>0</v>
      </c>
      <c r="F37" s="73" t="str">
        <f>VLOOKUP($C37,DosF2C!$B$7:$E$100,4)</f>
        <v>UKR</v>
      </c>
      <c r="G37" s="87" t="s">
        <v>202</v>
      </c>
      <c r="H37" s="87" t="s">
        <v>157</v>
      </c>
      <c r="I37" s="56"/>
      <c r="J37" s="57"/>
      <c r="K37" s="423" t="s">
        <v>251</v>
      </c>
    </row>
    <row r="38" spans="1:11" ht="12.75">
      <c r="A38" s="58">
        <f>A35+$A$73</f>
        <v>0.6666666666666665</v>
      </c>
      <c r="B38" s="59" t="s">
        <v>139</v>
      </c>
      <c r="C38" s="60">
        <v>51</v>
      </c>
      <c r="D38" s="74" t="str">
        <f>VLOOKUP($C38,DosF2C!$B$7:$E$100,2)</f>
        <v>WILLOUGHBY S. / OGE B.</v>
      </c>
      <c r="E38" s="75">
        <f>VLOOKUP($C38,DosF2C!$B$7:$E$100,3)</f>
        <v>0</v>
      </c>
      <c r="F38" s="76" t="str">
        <f>VLOOKUP($C38,DosF2C!$B$7:$E$100,4)</f>
        <v>USA</v>
      </c>
      <c r="G38" s="87"/>
      <c r="H38" s="87"/>
      <c r="I38" s="56"/>
      <c r="J38" s="63"/>
      <c r="K38" s="423" t="s">
        <v>230</v>
      </c>
    </row>
    <row r="39" spans="1:11" ht="12.75">
      <c r="A39" s="64"/>
      <c r="B39" s="65" t="s">
        <v>140</v>
      </c>
      <c r="C39" s="66">
        <v>22</v>
      </c>
      <c r="D39" s="77" t="str">
        <f>VLOOKUP($C39,DosF2C!$B$7:$E$100,2)</f>
        <v>ORVOS F. / NAGY Z.</v>
      </c>
      <c r="E39" s="79">
        <f>VLOOKUP($C39,DosF2C!$B$7:$E$100,3)</f>
        <v>0</v>
      </c>
      <c r="F39" s="78" t="str">
        <f>VLOOKUP($C39,DosF2C!$B$7:$E$100,4)</f>
        <v>HUN</v>
      </c>
      <c r="G39" s="87" t="s">
        <v>162</v>
      </c>
      <c r="H39" s="87"/>
      <c r="I39" s="56"/>
      <c r="J39" s="67"/>
      <c r="K39" s="423" t="s">
        <v>252</v>
      </c>
    </row>
    <row r="40" spans="1:11" ht="13.5">
      <c r="A40" s="51">
        <f>(ROW(A40)-7)/3</f>
        <v>11</v>
      </c>
      <c r="B40" s="52" t="s">
        <v>138</v>
      </c>
      <c r="C40" s="53">
        <v>1</v>
      </c>
      <c r="D40" s="71" t="str">
        <f>VLOOKUP($C40,DosF2C!$B$7:$E$100,2)</f>
        <v>ANDREEV S. / SOBKO S.</v>
      </c>
      <c r="E40" s="72" t="str">
        <f>VLOOKUP($C40,DosF2C!$B$7:$E$100,3)</f>
        <v>W/CH</v>
      </c>
      <c r="F40" s="73" t="str">
        <f>VLOOKUP($C40,DosF2C!$B$7:$E$100,4)</f>
        <v>RUS</v>
      </c>
      <c r="G40" s="87" t="s">
        <v>202</v>
      </c>
      <c r="H40" s="87" t="s">
        <v>157</v>
      </c>
      <c r="I40" s="56"/>
      <c r="J40" s="57"/>
      <c r="K40" s="423" t="s">
        <v>253</v>
      </c>
    </row>
    <row r="41" spans="1:11" ht="12.75">
      <c r="A41" s="58">
        <f>A38+$A$73</f>
        <v>0.6749999999999998</v>
      </c>
      <c r="B41" s="59" t="s">
        <v>139</v>
      </c>
      <c r="C41" s="60">
        <v>42</v>
      </c>
      <c r="D41" s="74" t="str">
        <f>VLOOKUP($C41,DosF2C!$B$7:$E$100,2)</f>
        <v>BORER H. / SACCAVINO C.</v>
      </c>
      <c r="E41" s="75">
        <f>VLOOKUP($C41,DosF2C!$B$7:$E$100,3)</f>
        <v>0</v>
      </c>
      <c r="F41" s="76" t="str">
        <f>VLOOKUP($C41,DosF2C!$B$7:$E$100,4)</f>
        <v>SUI</v>
      </c>
      <c r="G41" s="87" t="s">
        <v>162</v>
      </c>
      <c r="H41" s="87" t="s">
        <v>162</v>
      </c>
      <c r="I41" s="56"/>
      <c r="J41" s="63"/>
      <c r="K41" s="423" t="s">
        <v>215</v>
      </c>
    </row>
    <row r="42" spans="1:11" ht="12.75">
      <c r="A42" s="64"/>
      <c r="B42" s="65" t="s">
        <v>140</v>
      </c>
      <c r="C42" s="66">
        <v>19</v>
      </c>
      <c r="D42" s="77" t="str">
        <f>VLOOKUP($C42,DosF2C!$B$7:$E$100,2)</f>
        <v>ROSS M. / TURNER B.</v>
      </c>
      <c r="E42" s="79">
        <f>VLOOKUP($C42,DosF2C!$B$7:$E$100,3)</f>
        <v>0</v>
      </c>
      <c r="F42" s="78" t="str">
        <f>VLOOKUP($C42,DosF2C!$B$7:$E$100,4)</f>
        <v>GBR</v>
      </c>
      <c r="G42" s="87" t="s">
        <v>157</v>
      </c>
      <c r="H42" s="87" t="s">
        <v>162</v>
      </c>
      <c r="I42" s="56"/>
      <c r="J42" s="67"/>
      <c r="K42" s="423" t="s">
        <v>254</v>
      </c>
    </row>
    <row r="43" spans="1:11" ht="13.5">
      <c r="A43" s="51">
        <f>(ROW(A43)-7)/3</f>
        <v>12</v>
      </c>
      <c r="B43" s="52" t="s">
        <v>138</v>
      </c>
      <c r="C43" s="53">
        <v>2</v>
      </c>
      <c r="D43" s="71" t="str">
        <f>VLOOKUP($C43,DosF2C!$B$7:$E$100,2)</f>
        <v>CAMERON P. / FITZGERALD R.</v>
      </c>
      <c r="E43" s="72">
        <f>VLOOKUP($C43,DosF2C!$B$7:$E$100,3)</f>
        <v>0</v>
      </c>
      <c r="F43" s="73" t="str">
        <f>VLOOKUP($C43,DosF2C!$B$7:$E$100,4)</f>
        <v>AUS</v>
      </c>
      <c r="G43" s="87" t="s">
        <v>157</v>
      </c>
      <c r="H43" s="87"/>
      <c r="I43" s="56"/>
      <c r="J43" s="57"/>
      <c r="K43" s="423" t="s">
        <v>255</v>
      </c>
    </row>
    <row r="44" spans="1:11" ht="12.75">
      <c r="A44" s="58">
        <f>A41+$A$73</f>
        <v>0.6833333333333331</v>
      </c>
      <c r="B44" s="59" t="s">
        <v>139</v>
      </c>
      <c r="C44" s="60">
        <v>28</v>
      </c>
      <c r="D44" s="74" t="str">
        <f>VLOOKUP($C44,DosF2C!$B$7:$E$100,2)</f>
        <v>VENDEL Micha / METKEMEIJER R.</v>
      </c>
      <c r="E44" s="75">
        <f>VLOOKUP($C44,DosF2C!$B$7:$E$100,3)</f>
        <v>0</v>
      </c>
      <c r="F44" s="76" t="str">
        <f>VLOOKUP($C44,DosF2C!$B$7:$E$100,4)</f>
        <v>NED</v>
      </c>
      <c r="G44" s="87" t="s">
        <v>162</v>
      </c>
      <c r="H44" s="87" t="s">
        <v>157</v>
      </c>
      <c r="I44" s="56" t="s">
        <v>157</v>
      </c>
      <c r="J44" s="63"/>
      <c r="K44" s="423" t="s">
        <v>159</v>
      </c>
    </row>
    <row r="45" spans="1:11" ht="12.75">
      <c r="A45" s="64"/>
      <c r="B45" s="65" t="s">
        <v>140</v>
      </c>
      <c r="C45" s="66">
        <v>9</v>
      </c>
      <c r="D45" s="77" t="str">
        <f>VLOOKUP($C45,DosF2C!$B$7:$E$100,2)</f>
        <v>JAREBEK J. / PARENT K.</v>
      </c>
      <c r="E45" s="79">
        <f>VLOOKUP($C45,DosF2C!$B$7:$E$100,3)</f>
        <v>0</v>
      </c>
      <c r="F45" s="78" t="str">
        <f>VLOOKUP($C45,DosF2C!$B$7:$E$100,4)</f>
        <v>CAN</v>
      </c>
      <c r="G45" s="87" t="s">
        <v>186</v>
      </c>
      <c r="H45" s="87" t="s">
        <v>162</v>
      </c>
      <c r="I45" s="56" t="s">
        <v>157</v>
      </c>
      <c r="J45" s="67"/>
      <c r="K45" s="423" t="s">
        <v>159</v>
      </c>
    </row>
    <row r="46" spans="1:11" s="1" customFormat="1" ht="12.75">
      <c r="A46" s="49"/>
      <c r="B46" s="40"/>
      <c r="C46" s="41"/>
      <c r="D46" s="86"/>
      <c r="E46" s="34"/>
      <c r="F46" s="87"/>
      <c r="G46" s="87"/>
      <c r="H46" s="87"/>
      <c r="I46" s="56"/>
      <c r="J46" s="86"/>
      <c r="K46" s="423"/>
    </row>
    <row r="47" spans="1:11" ht="13.5">
      <c r="A47" s="51">
        <f>(ROW(A47)-8)/3</f>
        <v>13</v>
      </c>
      <c r="B47" s="52" t="s">
        <v>138</v>
      </c>
      <c r="C47" s="53">
        <v>35</v>
      </c>
      <c r="D47" s="71" t="str">
        <f>VLOOKUP($C47,DosF2C!$B$7:$E$100,2)</f>
        <v>USTINOV D. / ORESHKINE A.</v>
      </c>
      <c r="E47" s="72" t="str">
        <f>VLOOKUP($C47,DosF2C!$B$7:$E$100,3)</f>
        <v>Jun</v>
      </c>
      <c r="F47" s="73" t="str">
        <f>VLOOKUP($C47,DosF2C!$B$7:$E$100,4)</f>
        <v>RUS</v>
      </c>
      <c r="G47" s="87"/>
      <c r="H47" s="87"/>
      <c r="I47" s="56"/>
      <c r="J47" s="57" t="s">
        <v>249</v>
      </c>
      <c r="K47" s="423" t="s">
        <v>159</v>
      </c>
    </row>
    <row r="48" spans="1:11" ht="12.75">
      <c r="A48" s="58">
        <f>A44+2*$A$73</f>
        <v>0.6999999999999998</v>
      </c>
      <c r="B48" s="59" t="s">
        <v>139</v>
      </c>
      <c r="C48" s="60">
        <v>23</v>
      </c>
      <c r="D48" s="74" t="str">
        <f>VLOOKUP($C48,DosF2C!$B$7:$E$100,2)</f>
        <v>MOHAI I. / SZVACSEK F.</v>
      </c>
      <c r="E48" s="75">
        <f>VLOOKUP($C48,DosF2C!$B$7:$E$100,3)</f>
        <v>0</v>
      </c>
      <c r="F48" s="76" t="str">
        <f>VLOOKUP($C48,DosF2C!$B$7:$E$100,4)</f>
        <v>HUN</v>
      </c>
      <c r="G48" s="87" t="s">
        <v>157</v>
      </c>
      <c r="H48" s="87" t="s">
        <v>157</v>
      </c>
      <c r="I48" s="56"/>
      <c r="J48" s="63"/>
      <c r="K48" s="423" t="s">
        <v>256</v>
      </c>
    </row>
    <row r="49" spans="1:11" ht="12.75">
      <c r="A49" s="64"/>
      <c r="B49" s="65" t="s">
        <v>140</v>
      </c>
      <c r="C49" s="66">
        <v>12</v>
      </c>
      <c r="D49" s="77" t="str">
        <f>VLOOKUP($C49,DosF2C!$B$7:$E$100,2)</f>
        <v>LOPEZ J. / DEL HOYO C. </v>
      </c>
      <c r="E49" s="79">
        <f>VLOOKUP($C49,DosF2C!$B$7:$E$100,3)</f>
        <v>0</v>
      </c>
      <c r="F49" s="78" t="str">
        <f>VLOOKUP($C49,DosF2C!$B$7:$E$100,4)</f>
        <v>ESP</v>
      </c>
      <c r="G49" s="87" t="s">
        <v>157</v>
      </c>
      <c r="H49" s="87" t="s">
        <v>157</v>
      </c>
      <c r="I49" s="56"/>
      <c r="J49" s="67"/>
      <c r="K49" s="423" t="s">
        <v>257</v>
      </c>
    </row>
    <row r="50" spans="1:11" ht="13.5">
      <c r="A50" s="51">
        <f>(ROW(A50)-8)/3</f>
        <v>14</v>
      </c>
      <c r="B50" s="52" t="s">
        <v>138</v>
      </c>
      <c r="C50" s="53">
        <v>3</v>
      </c>
      <c r="D50" s="71" t="str">
        <f>VLOOKUP($C50,DosF2C!$B$7:$E$100,2)</f>
        <v>JUSTIC R. / OWEN R.</v>
      </c>
      <c r="E50" s="72">
        <f>VLOOKUP($C50,DosF2C!$B$7:$E$100,3)</f>
        <v>0</v>
      </c>
      <c r="F50" s="73" t="str">
        <f>VLOOKUP($C50,DosF2C!$B$7:$E$100,4)</f>
        <v>AUS</v>
      </c>
      <c r="G50" s="87" t="s">
        <v>157</v>
      </c>
      <c r="H50" s="87"/>
      <c r="I50" s="56"/>
      <c r="J50" s="57"/>
      <c r="K50" s="423" t="s">
        <v>258</v>
      </c>
    </row>
    <row r="51" spans="1:11" ht="12.75">
      <c r="A51" s="58">
        <f>A48+$A$73</f>
        <v>0.7083333333333331</v>
      </c>
      <c r="B51" s="59" t="s">
        <v>139</v>
      </c>
      <c r="C51" s="60">
        <v>20</v>
      </c>
      <c r="D51" s="74" t="str">
        <f>VLOOKUP($C51,DosF2C!$B$7:$E$100,2)</f>
        <v>LANGWORTH B. / CAMPBELL D.</v>
      </c>
      <c r="E51" s="75">
        <f>VLOOKUP($C51,DosF2C!$B$7:$E$100,3)</f>
        <v>0</v>
      </c>
      <c r="F51" s="76" t="str">
        <f>VLOOKUP($C51,DosF2C!$B$7:$E$100,4)</f>
        <v>GBR</v>
      </c>
      <c r="G51" s="87" t="s">
        <v>157</v>
      </c>
      <c r="H51" s="87" t="s">
        <v>157</v>
      </c>
      <c r="I51" s="56" t="s">
        <v>157</v>
      </c>
      <c r="J51" s="63"/>
      <c r="K51" s="423" t="s">
        <v>159</v>
      </c>
    </row>
    <row r="52" spans="1:11" ht="12.75">
      <c r="A52" s="64"/>
      <c r="B52" s="65" t="s">
        <v>140</v>
      </c>
      <c r="C52" s="66">
        <v>43</v>
      </c>
      <c r="D52" s="77" t="str">
        <f>VLOOKUP($C52,DosF2C!$B$7:$E$100,2)</f>
        <v>MUELLER R. / SACCAVINO V.</v>
      </c>
      <c r="E52" s="79">
        <f>VLOOKUP($C52,DosF2C!$B$7:$E$100,3)</f>
        <v>0</v>
      </c>
      <c r="F52" s="78" t="str">
        <f>VLOOKUP($C52,DosF2C!$B$7:$E$100,4)</f>
        <v>SUI</v>
      </c>
      <c r="G52" s="87" t="s">
        <v>186</v>
      </c>
      <c r="H52" s="87" t="s">
        <v>157</v>
      </c>
      <c r="I52" s="56" t="s">
        <v>157</v>
      </c>
      <c r="J52" s="67"/>
      <c r="K52" s="423" t="s">
        <v>159</v>
      </c>
    </row>
    <row r="53" spans="1:11" ht="13.5">
      <c r="A53" s="51">
        <f>(ROW(A53)-8)/3</f>
        <v>15</v>
      </c>
      <c r="B53" s="52" t="s">
        <v>138</v>
      </c>
      <c r="C53" s="53">
        <v>47</v>
      </c>
      <c r="D53" s="71" t="str">
        <f>VLOOKUP($C53,DosF2C!$B$7:$E$100,2)</f>
        <v>ZHURAVLYOV V. / SOSNOVSKIY V.</v>
      </c>
      <c r="E53" s="72">
        <f>VLOOKUP($C53,DosF2C!$B$7:$E$100,3)</f>
        <v>0</v>
      </c>
      <c r="F53" s="73" t="str">
        <f>VLOOKUP($C53,DosF2C!$B$7:$E$100,4)</f>
        <v>UKR</v>
      </c>
      <c r="G53" s="87" t="s">
        <v>202</v>
      </c>
      <c r="H53" s="87" t="s">
        <v>160</v>
      </c>
      <c r="I53" s="56"/>
      <c r="J53" s="57" t="s">
        <v>158</v>
      </c>
      <c r="K53" s="423"/>
    </row>
    <row r="54" spans="1:11" ht="12.75">
      <c r="A54" s="58">
        <f>A51+$A$73</f>
        <v>0.7166666666666665</v>
      </c>
      <c r="B54" s="59" t="s">
        <v>139</v>
      </c>
      <c r="C54" s="60">
        <v>7</v>
      </c>
      <c r="D54" s="74" t="str">
        <f>VLOOKUP($C54,DosF2C!$B$7:$E$100,2)</f>
        <v>DESSAUCY L. / DESSAUCY J. </v>
      </c>
      <c r="E54" s="75">
        <f>VLOOKUP($C54,DosF2C!$B$7:$E$100,3)</f>
        <v>0</v>
      </c>
      <c r="F54" s="76" t="str">
        <f>VLOOKUP($C54,DosF2C!$B$7:$E$100,4)</f>
        <v>BEL</v>
      </c>
      <c r="G54" s="87"/>
      <c r="H54" s="87"/>
      <c r="I54" s="56"/>
      <c r="J54" s="63" t="s">
        <v>158</v>
      </c>
      <c r="K54" s="423"/>
    </row>
    <row r="55" spans="1:11" ht="12.75">
      <c r="A55" s="64"/>
      <c r="B55" s="65" t="s">
        <v>140</v>
      </c>
      <c r="C55" s="66">
        <v>29</v>
      </c>
      <c r="D55" s="77" t="str">
        <f>VLOOKUP($C55,DosF2C!$B$7:$E$100,2)</f>
        <v>ZUCHOWSKI M. / DABROWSKI K.</v>
      </c>
      <c r="E55" s="79" t="str">
        <f>VLOOKUP($C55,DosF2C!$B$7:$E$100,3)</f>
        <v>Jun</v>
      </c>
      <c r="F55" s="78" t="str">
        <f>VLOOKUP($C55,DosF2C!$B$7:$E$100,4)</f>
        <v>POL</v>
      </c>
      <c r="G55" s="87"/>
      <c r="H55" s="87"/>
      <c r="I55" s="56"/>
      <c r="J55" s="67" t="s">
        <v>249</v>
      </c>
      <c r="K55" s="423" t="s">
        <v>159</v>
      </c>
    </row>
    <row r="56" spans="1:11" ht="13.5">
      <c r="A56" s="51">
        <f>(ROW(A56)-8)/3</f>
        <v>16</v>
      </c>
      <c r="B56" s="52" t="s">
        <v>138</v>
      </c>
      <c r="C56" s="53">
        <v>8</v>
      </c>
      <c r="D56" s="71" t="str">
        <f>VLOOKUP($C56,DosF2C!$B$7:$E$100,2)</f>
        <v>FAIREY R. / FAIREY B. </v>
      </c>
      <c r="E56" s="72">
        <f>VLOOKUP($C56,DosF2C!$B$7:$E$100,3)</f>
        <v>0</v>
      </c>
      <c r="F56" s="73" t="str">
        <f>VLOOKUP($C56,DosF2C!$B$7:$E$100,4)</f>
        <v>CAN</v>
      </c>
      <c r="G56" s="87" t="s">
        <v>157</v>
      </c>
      <c r="H56" s="87" t="s">
        <v>157</v>
      </c>
      <c r="I56" s="56"/>
      <c r="J56" s="57"/>
      <c r="K56" s="423" t="s">
        <v>260</v>
      </c>
    </row>
    <row r="57" spans="1:11" ht="12.75">
      <c r="A57" s="58">
        <f>A54+$A$73</f>
        <v>0.7249999999999998</v>
      </c>
      <c r="B57" s="59" t="s">
        <v>139</v>
      </c>
      <c r="C57" s="60">
        <v>30</v>
      </c>
      <c r="D57" s="74" t="str">
        <f>VLOOKUP($C57,DosF2C!$B$7:$E$100,2)</f>
        <v>CONTENTE A. / SECO F.</v>
      </c>
      <c r="E57" s="75">
        <f>VLOOKUP($C57,DosF2C!$B$7:$E$100,3)</f>
        <v>0</v>
      </c>
      <c r="F57" s="76" t="str">
        <f>VLOOKUP($C57,DosF2C!$B$7:$E$100,4)</f>
        <v>POR</v>
      </c>
      <c r="G57" s="87" t="s">
        <v>157</v>
      </c>
      <c r="H57" s="87" t="s">
        <v>157</v>
      </c>
      <c r="I57" s="56"/>
      <c r="J57" s="63"/>
      <c r="K57" s="423" t="s">
        <v>259</v>
      </c>
    </row>
    <row r="58" spans="1:11" ht="12.75">
      <c r="A58" s="64"/>
      <c r="B58" s="65" t="s">
        <v>140</v>
      </c>
      <c r="C58" s="66">
        <v>26</v>
      </c>
      <c r="D58" s="74" t="str">
        <f>VLOOKUP($C58,DosF2C!$B$7:$E$100,2)</f>
        <v>MARTINI G. / MENOZZI M.</v>
      </c>
      <c r="E58" s="75">
        <f>VLOOKUP($C58,DosF2C!$B$7:$E$100,3)</f>
        <v>0</v>
      </c>
      <c r="F58" s="76" t="str">
        <f>VLOOKUP($C58,DosF2C!$B$7:$E$100,4)</f>
        <v>ITA</v>
      </c>
      <c r="G58" s="87" t="s">
        <v>157</v>
      </c>
      <c r="H58" s="87"/>
      <c r="I58" s="56"/>
      <c r="J58" s="67"/>
      <c r="K58" s="423" t="s">
        <v>208</v>
      </c>
    </row>
    <row r="59" spans="1:11" ht="13.5">
      <c r="A59" s="51">
        <f>(ROW(A59)-8)/3</f>
        <v>17</v>
      </c>
      <c r="B59" s="52" t="s">
        <v>138</v>
      </c>
      <c r="C59" s="53">
        <v>25</v>
      </c>
      <c r="D59" s="71" t="str">
        <f>VLOOKUP($C59,DosF2C!$B$7:$E$100,2)</f>
        <v>MAGLI M./  PIRAZZINI E.</v>
      </c>
      <c r="E59" s="72">
        <f>VLOOKUP($C59,DosF2C!$B$7:$E$100,3)</f>
        <v>0</v>
      </c>
      <c r="F59" s="73" t="str">
        <f>VLOOKUP($C59,DosF2C!$B$7:$E$100,4)</f>
        <v>ITA</v>
      </c>
      <c r="G59" s="87" t="s">
        <v>219</v>
      </c>
      <c r="H59" s="87" t="s">
        <v>157</v>
      </c>
      <c r="I59" s="56"/>
      <c r="J59" s="57"/>
      <c r="K59" s="423" t="s">
        <v>264</v>
      </c>
    </row>
    <row r="60" spans="1:11" ht="12.75">
      <c r="A60" s="58">
        <f>A57+$A$73</f>
        <v>0.7333333333333331</v>
      </c>
      <c r="B60" s="59" t="s">
        <v>139</v>
      </c>
      <c r="C60" s="60">
        <v>39</v>
      </c>
      <c r="D60" s="74" t="str">
        <f>VLOOKUP($C60,DosF2C!$B$7:$E$100,2)</f>
        <v>LOH P. / CHING M. </v>
      </c>
      <c r="E60" s="75">
        <f>VLOOKUP($C60,DosF2C!$B$7:$E$100,3)</f>
        <v>0</v>
      </c>
      <c r="F60" s="76" t="str">
        <f>VLOOKUP($C60,DosF2C!$B$7:$E$100,4)</f>
        <v>SIN</v>
      </c>
      <c r="G60" s="87"/>
      <c r="H60" s="87"/>
      <c r="I60" s="56"/>
      <c r="J60" s="63"/>
      <c r="K60" s="423" t="s">
        <v>263</v>
      </c>
    </row>
    <row r="61" spans="1:11" ht="12.75">
      <c r="A61" s="64"/>
      <c r="B61" s="65" t="s">
        <v>140</v>
      </c>
      <c r="C61" s="66">
        <v>33</v>
      </c>
      <c r="D61" s="74" t="str">
        <f>VLOOKUP($C61,DosF2C!$B$7:$E$100,2)</f>
        <v>SURKOV O. / BALEZINE V.</v>
      </c>
      <c r="E61" s="75">
        <f>VLOOKUP($C61,DosF2C!$B$7:$E$100,3)</f>
        <v>0</v>
      </c>
      <c r="F61" s="76" t="str">
        <f>VLOOKUP($C61,DosF2C!$B$7:$E$100,4)</f>
        <v>RUS</v>
      </c>
      <c r="G61" s="87" t="s">
        <v>261</v>
      </c>
      <c r="H61" s="87" t="s">
        <v>157</v>
      </c>
      <c r="I61" s="56"/>
      <c r="J61" s="67"/>
      <c r="K61" s="423" t="s">
        <v>262</v>
      </c>
    </row>
    <row r="62" spans="1:11" ht="13.5">
      <c r="A62" s="51">
        <f>(ROW(A62)-8)/3</f>
        <v>18</v>
      </c>
      <c r="B62" s="52" t="s">
        <v>138</v>
      </c>
      <c r="C62" s="53">
        <v>44</v>
      </c>
      <c r="D62" s="71" t="str">
        <f>VLOOKUP($C62,DosF2C!$B$7:$E$100,2)</f>
        <v>GIGER P. / STUDER H.</v>
      </c>
      <c r="E62" s="72">
        <f>VLOOKUP($C62,DosF2C!$B$7:$E$100,3)</f>
        <v>0</v>
      </c>
      <c r="F62" s="73" t="str">
        <f>VLOOKUP($C62,DosF2C!$B$7:$E$100,4)</f>
        <v>SUI</v>
      </c>
      <c r="G62" s="87"/>
      <c r="H62" s="87"/>
      <c r="I62" s="56"/>
      <c r="J62" s="57"/>
      <c r="K62" s="423" t="s">
        <v>265</v>
      </c>
    </row>
    <row r="63" spans="1:11" ht="12.75">
      <c r="A63" s="58">
        <f>A60+$A$73</f>
        <v>0.7416666666666664</v>
      </c>
      <c r="B63" s="59" t="s">
        <v>139</v>
      </c>
      <c r="C63" s="60">
        <v>32</v>
      </c>
      <c r="D63" s="74" t="str">
        <f>VLOOKUP($C63,DosF2C!$B$7:$E$100,2)</f>
        <v>CHABACHOV J. / MOSKALEEV S.</v>
      </c>
      <c r="E63" s="75">
        <f>VLOOKUP($C63,DosF2C!$B$7:$E$100,3)</f>
        <v>0</v>
      </c>
      <c r="F63" s="76" t="str">
        <f>VLOOKUP($C63,DosF2C!$B$7:$E$100,4)</f>
        <v>RUS</v>
      </c>
      <c r="G63" s="87" t="s">
        <v>157</v>
      </c>
      <c r="H63" s="87" t="s">
        <v>261</v>
      </c>
      <c r="I63" s="56"/>
      <c r="J63" s="63"/>
      <c r="K63" s="423" t="s">
        <v>266</v>
      </c>
    </row>
    <row r="64" spans="1:11" ht="12.75">
      <c r="A64" s="64"/>
      <c r="B64" s="65" t="s">
        <v>140</v>
      </c>
      <c r="C64" s="66">
        <v>46</v>
      </c>
      <c r="D64" s="74" t="str">
        <f>VLOOKUP($C64,DosF2C!$B$7:$E$100,2)</f>
        <v>BEZMERTNY Y. / FULITKA V.</v>
      </c>
      <c r="E64" s="75">
        <f>VLOOKUP($C64,DosF2C!$B$7:$E$100,3)</f>
        <v>0</v>
      </c>
      <c r="F64" s="76" t="str">
        <f>VLOOKUP($C64,DosF2C!$B$7:$E$100,4)</f>
        <v>UKR</v>
      </c>
      <c r="G64" s="87" t="s">
        <v>157</v>
      </c>
      <c r="H64" s="87" t="s">
        <v>219</v>
      </c>
      <c r="I64" s="56"/>
      <c r="J64" s="67"/>
      <c r="K64" s="423" t="s">
        <v>167</v>
      </c>
    </row>
    <row r="65" spans="1:11" s="1" customFormat="1" ht="12.75">
      <c r="A65" s="49"/>
      <c r="B65" s="40"/>
      <c r="C65" s="41"/>
      <c r="D65" s="86"/>
      <c r="E65" s="34"/>
      <c r="F65" s="87"/>
      <c r="G65" s="87"/>
      <c r="H65" s="87"/>
      <c r="I65" s="56"/>
      <c r="J65" s="86"/>
      <c r="K65" s="423"/>
    </row>
    <row r="66" spans="1:11" ht="13.5">
      <c r="A66" s="51">
        <f>(ROW(A66)-9)/3</f>
        <v>19</v>
      </c>
      <c r="B66" s="52" t="s">
        <v>138</v>
      </c>
      <c r="C66" s="53">
        <v>38</v>
      </c>
      <c r="D66" s="71" t="str">
        <f>VLOOKUP($C66,DosF2C!$B$7:$E$100,2)</f>
        <v>SATHA S. / WEE C.</v>
      </c>
      <c r="E66" s="72">
        <f>VLOOKUP($C66,DosF2C!$B$7:$E$100,3)</f>
        <v>0</v>
      </c>
      <c r="F66" s="73" t="str">
        <f>VLOOKUP($C66,DosF2C!$B$7:$E$100,4)</f>
        <v>SIN</v>
      </c>
      <c r="G66" s="87"/>
      <c r="H66" s="87"/>
      <c r="I66" s="56"/>
      <c r="J66" s="57"/>
      <c r="K66" s="423" t="s">
        <v>268</v>
      </c>
    </row>
    <row r="67" spans="1:11" ht="12.75">
      <c r="A67" s="58">
        <f>A63+2*$A$73</f>
        <v>0.7583333333333331</v>
      </c>
      <c r="B67" s="59" t="s">
        <v>139</v>
      </c>
      <c r="C67" s="60">
        <v>34</v>
      </c>
      <c r="D67" s="74" t="str">
        <f>VLOOKUP($C67,DosF2C!$B$7:$E$100,2)</f>
        <v>TITOV V. / JOUGOV V.</v>
      </c>
      <c r="E67" s="75">
        <f>VLOOKUP($C67,DosF2C!$B$7:$E$100,3)</f>
        <v>0</v>
      </c>
      <c r="F67" s="76" t="str">
        <f>VLOOKUP($C67,DosF2C!$B$7:$E$100,4)</f>
        <v>RUS</v>
      </c>
      <c r="G67" s="87" t="s">
        <v>219</v>
      </c>
      <c r="H67" s="87"/>
      <c r="I67" s="56"/>
      <c r="J67" s="63"/>
      <c r="K67" s="423" t="s">
        <v>267</v>
      </c>
    </row>
    <row r="68" spans="1:11" ht="12.75">
      <c r="A68" s="64"/>
      <c r="B68" s="65" t="s">
        <v>140</v>
      </c>
      <c r="C68" s="66">
        <v>5</v>
      </c>
      <c r="D68" s="74" t="str">
        <f>VLOOKUP($C68,DosF2C!$B$7:$E$100,2)</f>
        <v>FISCHER J. / STRANIAK H.</v>
      </c>
      <c r="E68" s="75">
        <f>VLOOKUP($C68,DosF2C!$B$7:$E$100,3)</f>
        <v>0</v>
      </c>
      <c r="F68" s="76" t="str">
        <f>VLOOKUP($C68,DosF2C!$B$7:$E$100,4)</f>
        <v>AUT</v>
      </c>
      <c r="G68" s="87"/>
      <c r="H68" s="87"/>
      <c r="I68" s="56"/>
      <c r="J68" s="67"/>
      <c r="K68" s="423" t="s">
        <v>189</v>
      </c>
    </row>
    <row r="69" spans="1:11" ht="13.5">
      <c r="A69" s="51">
        <f>(ROW(A69)-9)/3</f>
        <v>20</v>
      </c>
      <c r="B69" s="52" t="s">
        <v>138</v>
      </c>
      <c r="C69" s="53">
        <v>37</v>
      </c>
      <c r="D69" s="71" t="str">
        <f>VLOOKUP($C69,DosF2C!$B$7:$E$100,2)</f>
        <v>ONG R. / SU D.</v>
      </c>
      <c r="E69" s="72">
        <f>VLOOKUP($C69,DosF2C!$B$7:$E$100,3)</f>
        <v>0</v>
      </c>
      <c r="F69" s="73" t="str">
        <f>VLOOKUP($C69,DosF2C!$B$7:$E$100,4)</f>
        <v>SIN</v>
      </c>
      <c r="G69" s="87"/>
      <c r="H69" s="87"/>
      <c r="I69" s="56"/>
      <c r="J69" s="57"/>
      <c r="K69" s="423" t="s">
        <v>269</v>
      </c>
    </row>
    <row r="70" spans="1:11" ht="12.75">
      <c r="A70" s="58">
        <f>A67+$A$73</f>
        <v>0.7666666666666664</v>
      </c>
      <c r="B70" s="59" t="s">
        <v>139</v>
      </c>
      <c r="C70" s="60">
        <v>47</v>
      </c>
      <c r="D70" s="74" t="str">
        <f>VLOOKUP($C70,DosF2C!$B$7:$E$100,2)</f>
        <v>ZHURAVLYOV V. / SOSNOVSKIY V.</v>
      </c>
      <c r="E70" s="75">
        <f>VLOOKUP($C70,DosF2C!$B$7:$E$100,3)</f>
        <v>0</v>
      </c>
      <c r="F70" s="76" t="str">
        <f>VLOOKUP($C70,DosF2C!$B$7:$E$100,4)</f>
        <v>UKR</v>
      </c>
      <c r="G70" s="87"/>
      <c r="H70" s="87"/>
      <c r="I70" s="56"/>
      <c r="J70" s="63"/>
      <c r="K70" s="423" t="s">
        <v>188</v>
      </c>
    </row>
    <row r="71" spans="1:11" ht="12.75">
      <c r="A71" s="64"/>
      <c r="B71" s="65" t="s">
        <v>140</v>
      </c>
      <c r="C71" s="66">
        <v>7</v>
      </c>
      <c r="D71" s="74" t="str">
        <f>VLOOKUP($C71,DosF2C!$B$7:$E$100,2)</f>
        <v>DESSAUCY L. / DESSAUCY J. </v>
      </c>
      <c r="E71" s="75">
        <f>VLOOKUP($C71,DosF2C!$B$7:$E$100,3)</f>
        <v>0</v>
      </c>
      <c r="F71" s="76" t="str">
        <f>VLOOKUP($C71,DosF2C!$B$7:$E$100,4)</f>
        <v>BEL</v>
      </c>
      <c r="G71" s="87"/>
      <c r="H71" s="87"/>
      <c r="I71" s="56"/>
      <c r="J71" s="67"/>
      <c r="K71" s="423" t="s">
        <v>270</v>
      </c>
    </row>
    <row r="73" spans="1:3" ht="12.75">
      <c r="A73" s="69">
        <v>0.008333333333333333</v>
      </c>
      <c r="C73" s="70" t="s">
        <v>141</v>
      </c>
    </row>
  </sheetData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workbookViewId="0" topLeftCell="A41">
      <selection activeCell="J50" sqref="J50"/>
    </sheetView>
  </sheetViews>
  <sheetFormatPr defaultColWidth="9.140625" defaultRowHeight="12.75"/>
  <cols>
    <col min="1" max="1" width="8.8515625" style="2" customWidth="1"/>
    <col min="2" max="2" width="6.140625" style="40" customWidth="1"/>
    <col min="3" max="3" width="5.7109375" style="41" customWidth="1"/>
    <col min="4" max="4" width="37.57421875" style="42" customWidth="1"/>
    <col min="5" max="5" width="7.57421875" style="43" customWidth="1"/>
    <col min="6" max="6" width="6.28125" style="68" customWidth="1"/>
    <col min="7" max="8" width="2.8515625" style="68" bestFit="1" customWidth="1"/>
    <col min="9" max="9" width="2.57421875" style="44" customWidth="1"/>
    <col min="10" max="10" width="41.421875" style="0" customWidth="1"/>
    <col min="11" max="16384" width="11.421875" style="0" customWidth="1"/>
  </cols>
  <sheetData>
    <row r="1" spans="2:9" ht="3" customHeight="1">
      <c r="B1"/>
      <c r="C1" s="28"/>
      <c r="D1" s="33"/>
      <c r="E1" s="34"/>
      <c r="F1" s="35"/>
      <c r="G1" s="35"/>
      <c r="H1" s="35"/>
      <c r="I1" s="36"/>
    </row>
    <row r="2" spans="2:9" ht="13.5">
      <c r="B2"/>
      <c r="C2" s="28"/>
      <c r="D2" s="37" t="s">
        <v>82</v>
      </c>
      <c r="E2" s="38"/>
      <c r="F2" s="2"/>
      <c r="G2" s="2"/>
      <c r="H2" s="2"/>
      <c r="I2"/>
    </row>
    <row r="3" spans="2:9" ht="13.5">
      <c r="B3"/>
      <c r="C3" s="28"/>
      <c r="D3" s="3"/>
      <c r="E3" s="38"/>
      <c r="F3" s="2"/>
      <c r="G3" s="2"/>
      <c r="H3" s="2"/>
      <c r="I3"/>
    </row>
    <row r="4" spans="1:9" ht="13.5">
      <c r="A4"/>
      <c r="B4"/>
      <c r="C4"/>
      <c r="D4" s="325" t="s">
        <v>144</v>
      </c>
      <c r="E4" s="223"/>
      <c r="F4" s="3"/>
      <c r="G4" s="3"/>
      <c r="H4" s="3"/>
      <c r="I4"/>
    </row>
    <row r="5" spans="1:9" ht="6" customHeight="1">
      <c r="A5"/>
      <c r="B5"/>
      <c r="C5"/>
      <c r="D5" s="39"/>
      <c r="E5" s="223"/>
      <c r="F5" s="3"/>
      <c r="G5" s="3"/>
      <c r="H5" s="3"/>
      <c r="I5"/>
    </row>
    <row r="6" spans="6:8" ht="6" customHeight="1">
      <c r="F6" s="44"/>
      <c r="G6" s="44"/>
      <c r="H6" s="44"/>
    </row>
    <row r="7" spans="2:9" ht="13.5">
      <c r="B7" s="45"/>
      <c r="C7" s="46"/>
      <c r="D7" s="47" t="s">
        <v>145</v>
      </c>
      <c r="E7" s="38"/>
      <c r="F7" s="48"/>
      <c r="G7" s="48"/>
      <c r="H7" s="48"/>
      <c r="I7" s="48"/>
    </row>
    <row r="8" spans="1:10" ht="13.5">
      <c r="A8" s="49"/>
      <c r="B8" s="45"/>
      <c r="C8" s="46"/>
      <c r="D8" s="50"/>
      <c r="E8" s="38"/>
      <c r="F8" s="48"/>
      <c r="G8" s="48"/>
      <c r="H8" s="48"/>
      <c r="I8" s="48"/>
      <c r="J8" s="1"/>
    </row>
    <row r="9" spans="1:11" ht="13.5">
      <c r="A9" s="51">
        <f>(ROW(A9)-6)/3</f>
        <v>1</v>
      </c>
      <c r="B9" s="52" t="s">
        <v>138</v>
      </c>
      <c r="C9" s="53">
        <v>3</v>
      </c>
      <c r="D9" s="71" t="str">
        <f>VLOOKUP($C9,DosF2C!$B$7:$E$100,2)</f>
        <v>JUSTIC R. / OWEN R.</v>
      </c>
      <c r="E9" s="72">
        <f>VLOOKUP($C9,DosF2C!$B$7:$E$100,3)</f>
        <v>0</v>
      </c>
      <c r="F9" s="73" t="str">
        <f>VLOOKUP($C9,DosF2C!$B$7:$E$100,4)</f>
        <v>AUS</v>
      </c>
      <c r="G9" s="87" t="s">
        <v>157</v>
      </c>
      <c r="H9" s="87" t="s">
        <v>157</v>
      </c>
      <c r="I9" s="56"/>
      <c r="J9" s="57"/>
      <c r="K9" s="423" t="s">
        <v>271</v>
      </c>
    </row>
    <row r="10" spans="1:11" ht="12.75">
      <c r="A10" s="58">
        <v>0.5833333333333334</v>
      </c>
      <c r="B10" s="59" t="s">
        <v>139</v>
      </c>
      <c r="C10" s="60">
        <v>16</v>
      </c>
      <c r="D10" s="74" t="str">
        <f>VLOOKUP($C10,DosF2C!$B$7:$E$100,2)</f>
        <v>BUCCI L. / PERRET C.</v>
      </c>
      <c r="E10" s="75" t="str">
        <f>VLOOKUP($C10,DosF2C!$B$7:$E$100,3)</f>
        <v>Jun</v>
      </c>
      <c r="F10" s="76" t="str">
        <f>VLOOKUP($C10,DosF2C!$B$7:$E$100,4)</f>
        <v>FRA</v>
      </c>
      <c r="G10" s="87" t="s">
        <v>157</v>
      </c>
      <c r="H10" s="87" t="s">
        <v>157</v>
      </c>
      <c r="I10" s="56"/>
      <c r="J10" s="63"/>
      <c r="K10" s="423" t="s">
        <v>272</v>
      </c>
    </row>
    <row r="11" spans="1:11" ht="12.75">
      <c r="A11" s="64"/>
      <c r="B11" s="65" t="s">
        <v>140</v>
      </c>
      <c r="C11" s="66">
        <v>36</v>
      </c>
      <c r="D11" s="77" t="str">
        <f>VLOOKUP($C11,DosF2C!$B$7:$E$100,2)</f>
        <v>ABDHUL RAMAN N. / NAJIMUDEEN H.</v>
      </c>
      <c r="E11" s="79" t="str">
        <f>VLOOKUP($C11,DosF2C!$B$7:$E$100,3)</f>
        <v>Jun</v>
      </c>
      <c r="F11" s="78" t="str">
        <f>VLOOKUP($C11,DosF2C!$B$7:$E$100,4)</f>
        <v>SIN</v>
      </c>
      <c r="G11" s="87"/>
      <c r="H11" s="87"/>
      <c r="I11" s="56"/>
      <c r="J11" s="67"/>
      <c r="K11" s="423" t="s">
        <v>273</v>
      </c>
    </row>
    <row r="12" spans="1:11" ht="13.5">
      <c r="A12" s="51">
        <f>(ROW(A12)-6)/3</f>
        <v>2</v>
      </c>
      <c r="B12" s="52" t="s">
        <v>138</v>
      </c>
      <c r="C12" s="53">
        <v>15</v>
      </c>
      <c r="D12" s="71" t="str">
        <f>VLOOKUP($C12,DosF2C!$B$7:$E$100,2)</f>
        <v>SURUGUE P. / SURUGUE G.</v>
      </c>
      <c r="E12" s="72">
        <f>VLOOKUP($C12,DosF2C!$B$7:$E$100,3)</f>
        <v>0</v>
      </c>
      <c r="F12" s="73" t="str">
        <f>VLOOKUP($C12,DosF2C!$B$7:$E$100,4)</f>
        <v>FRA</v>
      </c>
      <c r="G12" s="87"/>
      <c r="H12" s="87"/>
      <c r="I12" s="56"/>
      <c r="J12" s="57" t="s">
        <v>158</v>
      </c>
      <c r="K12" s="423"/>
    </row>
    <row r="13" spans="1:11" ht="12.75">
      <c r="A13" s="58">
        <f>A10+$A$73</f>
        <v>0.5916666666666667</v>
      </c>
      <c r="B13" s="59" t="s">
        <v>139</v>
      </c>
      <c r="C13" s="60">
        <v>19</v>
      </c>
      <c r="D13" s="74" t="str">
        <f>VLOOKUP($C13,DosF2C!$B$7:$E$100,2)</f>
        <v>ROSS M. / TURNER B.</v>
      </c>
      <c r="E13" s="75">
        <f>VLOOKUP($C13,DosF2C!$B$7:$E$100,3)</f>
        <v>0</v>
      </c>
      <c r="F13" s="76" t="str">
        <f>VLOOKUP($C13,DosF2C!$B$7:$E$100,4)</f>
        <v>GBR</v>
      </c>
      <c r="G13" s="87" t="s">
        <v>157</v>
      </c>
      <c r="H13" s="87" t="s">
        <v>157</v>
      </c>
      <c r="I13" s="56"/>
      <c r="J13" s="63"/>
      <c r="K13" s="423" t="s">
        <v>274</v>
      </c>
    </row>
    <row r="14" spans="1:11" ht="12.75">
      <c r="A14" s="64"/>
      <c r="B14" s="65" t="s">
        <v>140</v>
      </c>
      <c r="C14" s="66">
        <v>38</v>
      </c>
      <c r="D14" s="77" t="str">
        <f>VLOOKUP($C14,DosF2C!$B$7:$E$100,2)</f>
        <v>SATHA S. / WEE C.</v>
      </c>
      <c r="E14" s="79">
        <f>VLOOKUP($C14,DosF2C!$B$7:$E$100,3)</f>
        <v>0</v>
      </c>
      <c r="F14" s="78" t="str">
        <f>VLOOKUP($C14,DosF2C!$B$7:$E$100,4)</f>
        <v>SIN</v>
      </c>
      <c r="G14" s="87" t="s">
        <v>161</v>
      </c>
      <c r="H14" s="87"/>
      <c r="I14" s="56"/>
      <c r="J14" s="67"/>
      <c r="K14" s="423" t="s">
        <v>159</v>
      </c>
    </row>
    <row r="15" spans="1:11" ht="13.5">
      <c r="A15" s="51">
        <f>(ROW(A15)-6)/3</f>
        <v>3</v>
      </c>
      <c r="B15" s="52" t="s">
        <v>138</v>
      </c>
      <c r="C15" s="53">
        <v>46</v>
      </c>
      <c r="D15" s="71" t="str">
        <f>VLOOKUP($C15,DosF2C!$B$7:$E$100,2)</f>
        <v>BEZMERTNY Y. / FULITKA V.</v>
      </c>
      <c r="E15" s="72">
        <f>VLOOKUP($C15,DosF2C!$B$7:$E$100,3)</f>
        <v>0</v>
      </c>
      <c r="F15" s="73" t="str">
        <f>VLOOKUP($C15,DosF2C!$B$7:$E$100,4)</f>
        <v>UKR</v>
      </c>
      <c r="G15" s="87" t="s">
        <v>162</v>
      </c>
      <c r="H15" s="87" t="s">
        <v>157</v>
      </c>
      <c r="I15" s="56" t="s">
        <v>157</v>
      </c>
      <c r="J15" s="57"/>
      <c r="K15" s="423" t="s">
        <v>159</v>
      </c>
    </row>
    <row r="16" spans="1:11" ht="12.75">
      <c r="A16" s="58">
        <f>A13+$A$73</f>
        <v>0.6</v>
      </c>
      <c r="B16" s="59" t="s">
        <v>139</v>
      </c>
      <c r="C16" s="60">
        <v>44</v>
      </c>
      <c r="D16" s="74" t="str">
        <f>VLOOKUP($C16,DosF2C!$B$7:$E$100,2)</f>
        <v>GIGER P. / STUDER H.</v>
      </c>
      <c r="E16" s="75">
        <f>VLOOKUP($C16,DosF2C!$B$7:$E$100,3)</f>
        <v>0</v>
      </c>
      <c r="F16" s="76" t="str">
        <f>VLOOKUP($C16,DosF2C!$B$7:$E$100,4)</f>
        <v>SUI</v>
      </c>
      <c r="G16" s="87" t="s">
        <v>157</v>
      </c>
      <c r="H16" s="87" t="s">
        <v>157</v>
      </c>
      <c r="I16" s="56"/>
      <c r="J16" s="63"/>
      <c r="K16" s="423" t="s">
        <v>276</v>
      </c>
    </row>
    <row r="17" spans="1:11" ht="12.75">
      <c r="A17" s="64"/>
      <c r="B17" s="65" t="s">
        <v>140</v>
      </c>
      <c r="C17" s="66">
        <v>5</v>
      </c>
      <c r="D17" s="77" t="str">
        <f>VLOOKUP($C17,DosF2C!$B$7:$E$100,2)</f>
        <v>FISCHER J. / STRANIAK H.</v>
      </c>
      <c r="E17" s="79">
        <f>VLOOKUP($C17,DosF2C!$B$7:$E$100,3)</f>
        <v>0</v>
      </c>
      <c r="F17" s="78" t="str">
        <f>VLOOKUP($C17,DosF2C!$B$7:$E$100,4)</f>
        <v>AUT</v>
      </c>
      <c r="G17" s="87" t="s">
        <v>162</v>
      </c>
      <c r="H17" s="87" t="s">
        <v>157</v>
      </c>
      <c r="I17" s="56"/>
      <c r="J17" s="67"/>
      <c r="K17" s="423" t="s">
        <v>275</v>
      </c>
    </row>
    <row r="18" spans="1:11" ht="13.5">
      <c r="A18" s="51">
        <f>(ROW(A18)-6)/3</f>
        <v>4</v>
      </c>
      <c r="B18" s="52" t="s">
        <v>138</v>
      </c>
      <c r="C18" s="53">
        <v>35</v>
      </c>
      <c r="D18" s="71" t="str">
        <f>VLOOKUP($C18,DosF2C!$B$7:$E$100,2)</f>
        <v>USTINOV D. / ORESHKINE A.</v>
      </c>
      <c r="E18" s="72" t="str">
        <f>VLOOKUP($C18,DosF2C!$B$7:$E$100,3)</f>
        <v>Jun</v>
      </c>
      <c r="F18" s="73" t="str">
        <f>VLOOKUP($C18,DosF2C!$B$7:$E$100,4)</f>
        <v>RUS</v>
      </c>
      <c r="G18" s="87" t="s">
        <v>157</v>
      </c>
      <c r="H18" s="87"/>
      <c r="I18" s="56"/>
      <c r="J18" s="57"/>
      <c r="K18" s="423" t="s">
        <v>277</v>
      </c>
    </row>
    <row r="19" spans="1:11" ht="12.75">
      <c r="A19" s="58">
        <f>A16+$A$73</f>
        <v>0.6083333333333333</v>
      </c>
      <c r="B19" s="59" t="s">
        <v>139</v>
      </c>
      <c r="C19" s="60">
        <v>14</v>
      </c>
      <c r="D19" s="74" t="str">
        <f>VLOOKUP($C19,DosF2C!$B$7:$E$100,2)</f>
        <v>DELOR B. / CONSTANT P.</v>
      </c>
      <c r="E19" s="75">
        <f>VLOOKUP($C19,DosF2C!$B$7:$E$100,3)</f>
        <v>0</v>
      </c>
      <c r="F19" s="76" t="str">
        <f>VLOOKUP($C19,DosF2C!$B$7:$E$100,4)</f>
        <v>FRA</v>
      </c>
      <c r="G19" s="87" t="s">
        <v>157</v>
      </c>
      <c r="H19" s="87" t="s">
        <v>157</v>
      </c>
      <c r="I19" s="56" t="s">
        <v>161</v>
      </c>
      <c r="J19" s="63"/>
      <c r="K19" s="423" t="s">
        <v>159</v>
      </c>
    </row>
    <row r="20" spans="1:11" ht="12.75">
      <c r="A20" s="64"/>
      <c r="B20" s="65" t="s">
        <v>140</v>
      </c>
      <c r="C20" s="66">
        <v>18</v>
      </c>
      <c r="D20" s="77" t="str">
        <f>VLOOKUP($C20,DosF2C!$B$7:$E$100,2)</f>
        <v>MARSCHALL H./ KUCKELKORN F.</v>
      </c>
      <c r="E20" s="79">
        <f>VLOOKUP($C20,DosF2C!$B$7:$E$100,3)</f>
        <v>0</v>
      </c>
      <c r="F20" s="78" t="str">
        <f>VLOOKUP($C20,DosF2C!$B$7:$E$100,4)</f>
        <v>GER</v>
      </c>
      <c r="G20" s="87" t="s">
        <v>160</v>
      </c>
      <c r="H20" s="87" t="s">
        <v>157</v>
      </c>
      <c r="I20" s="56"/>
      <c r="J20" s="67"/>
      <c r="K20" s="423" t="s">
        <v>238</v>
      </c>
    </row>
    <row r="21" spans="1:11" ht="13.5">
      <c r="A21" s="51">
        <f>(ROW(A21)-6)/3</f>
        <v>5</v>
      </c>
      <c r="B21" s="52" t="s">
        <v>138</v>
      </c>
      <c r="C21" s="53">
        <v>43</v>
      </c>
      <c r="D21" s="71" t="str">
        <f>VLOOKUP($C21,DosF2C!$B$7:$E$100,2)</f>
        <v>MUELLER R. / SACCAVINO V.</v>
      </c>
      <c r="E21" s="72">
        <f>VLOOKUP($C21,DosF2C!$B$7:$E$100,3)</f>
        <v>0</v>
      </c>
      <c r="F21" s="73" t="str">
        <f>VLOOKUP($C21,DosF2C!$B$7:$E$100,4)</f>
        <v>SUI</v>
      </c>
      <c r="G21" s="87"/>
      <c r="H21" s="87"/>
      <c r="I21" s="56"/>
      <c r="J21" s="57" t="s">
        <v>224</v>
      </c>
      <c r="K21" s="423"/>
    </row>
    <row r="22" spans="1:11" ht="12.75">
      <c r="A22" s="58">
        <f>A19+$A$73</f>
        <v>0.6166666666666666</v>
      </c>
      <c r="B22" s="59" t="s">
        <v>139</v>
      </c>
      <c r="C22" s="60">
        <v>8</v>
      </c>
      <c r="D22" s="74" t="str">
        <f>VLOOKUP($C22,DosF2C!$B$7:$E$100,2)</f>
        <v>FAIREY R. / FAIREY B. </v>
      </c>
      <c r="E22" s="75">
        <f>VLOOKUP($C22,DosF2C!$B$7:$E$100,3)</f>
        <v>0</v>
      </c>
      <c r="F22" s="76" t="str">
        <f>VLOOKUP($C22,DosF2C!$B$7:$E$100,4)</f>
        <v>CAN</v>
      </c>
      <c r="G22" s="87"/>
      <c r="H22" s="87"/>
      <c r="I22" s="56"/>
      <c r="J22" s="63" t="s">
        <v>278</v>
      </c>
      <c r="K22" s="423" t="s">
        <v>225</v>
      </c>
    </row>
    <row r="23" spans="1:11" ht="12.75">
      <c r="A23" s="64"/>
      <c r="B23" s="65" t="s">
        <v>140</v>
      </c>
      <c r="C23" s="66">
        <v>26</v>
      </c>
      <c r="D23" s="77" t="str">
        <f>VLOOKUP($C23,DosF2C!$B$7:$E$100,2)</f>
        <v>MARTINI G. / MENOZZI M.</v>
      </c>
      <c r="E23" s="79">
        <f>VLOOKUP($C23,DosF2C!$B$7:$E$100,3)</f>
        <v>0</v>
      </c>
      <c r="F23" s="78" t="str">
        <f>VLOOKUP($C23,DosF2C!$B$7:$E$100,4)</f>
        <v>ITA</v>
      </c>
      <c r="G23" s="87"/>
      <c r="H23" s="87"/>
      <c r="I23" s="56"/>
      <c r="J23" s="67" t="s">
        <v>224</v>
      </c>
      <c r="K23" s="423"/>
    </row>
    <row r="24" spans="1:11" ht="13.5">
      <c r="A24" s="51">
        <f>(ROW(A24)-6)/3</f>
        <v>6</v>
      </c>
      <c r="B24" s="52" t="s">
        <v>138</v>
      </c>
      <c r="C24" s="53">
        <v>20</v>
      </c>
      <c r="D24" s="71" t="str">
        <f>VLOOKUP($C24,DosF2C!$B$7:$E$100,2)</f>
        <v>LANGWORTH B. / CAMPBELL D.</v>
      </c>
      <c r="E24" s="72">
        <f>VLOOKUP($C24,DosF2C!$B$7:$E$100,3)</f>
        <v>0</v>
      </c>
      <c r="F24" s="73" t="str">
        <f>VLOOKUP($C24,DosF2C!$B$7:$E$100,4)</f>
        <v>GBR</v>
      </c>
      <c r="G24" s="87" t="s">
        <v>157</v>
      </c>
      <c r="H24" s="87"/>
      <c r="I24" s="56"/>
      <c r="J24" s="57"/>
      <c r="K24" s="423" t="s">
        <v>280</v>
      </c>
    </row>
    <row r="25" spans="1:11" ht="12.75">
      <c r="A25" s="58">
        <f>A22+$A$73</f>
        <v>0.6249999999999999</v>
      </c>
      <c r="B25" s="59" t="s">
        <v>139</v>
      </c>
      <c r="C25" s="60">
        <v>10</v>
      </c>
      <c r="D25" s="74" t="str">
        <f>VLOOKUP($C25,DosF2C!$B$7:$E$100,2)</f>
        <v>BARRAGAN A. / BARRAGAN J.</v>
      </c>
      <c r="E25" s="75">
        <f>VLOOKUP($C25,DosF2C!$B$7:$E$100,3)</f>
        <v>0</v>
      </c>
      <c r="F25" s="76" t="str">
        <f>VLOOKUP($C25,DosF2C!$B$7:$E$100,4)</f>
        <v>ESP</v>
      </c>
      <c r="G25" s="87" t="s">
        <v>160</v>
      </c>
      <c r="H25" s="87" t="s">
        <v>157</v>
      </c>
      <c r="I25" s="56"/>
      <c r="J25" s="63"/>
      <c r="K25" s="423" t="s">
        <v>279</v>
      </c>
    </row>
    <row r="26" spans="1:11" ht="12.75">
      <c r="A26" s="64"/>
      <c r="B26" s="65" t="s">
        <v>140</v>
      </c>
      <c r="C26" s="66">
        <v>1</v>
      </c>
      <c r="D26" s="77" t="str">
        <f>VLOOKUP($C26,DosF2C!$B$7:$E$100,2)</f>
        <v>ANDREEV S. / SOBKO S.</v>
      </c>
      <c r="E26" s="79" t="str">
        <f>VLOOKUP($C26,DosF2C!$B$7:$E$100,3)</f>
        <v>W/CH</v>
      </c>
      <c r="F26" s="78" t="str">
        <f>VLOOKUP($C26,DosF2C!$B$7:$E$100,4)</f>
        <v>RUS</v>
      </c>
      <c r="G26" s="87" t="s">
        <v>162</v>
      </c>
      <c r="H26" s="87" t="s">
        <v>157</v>
      </c>
      <c r="I26" s="56"/>
      <c r="J26" s="67"/>
      <c r="K26" s="423" t="s">
        <v>221</v>
      </c>
    </row>
    <row r="27" spans="1:11" s="1" customFormat="1" ht="12.75">
      <c r="A27" s="49"/>
      <c r="B27" s="40"/>
      <c r="C27" s="41"/>
      <c r="D27" s="86"/>
      <c r="E27" s="34"/>
      <c r="F27" s="87"/>
      <c r="G27" s="87"/>
      <c r="H27" s="87"/>
      <c r="I27" s="56"/>
      <c r="J27" s="86"/>
      <c r="K27" s="423"/>
    </row>
    <row r="28" spans="1:11" ht="13.5">
      <c r="A28" s="51">
        <f>(ROW(A28)-7)/3</f>
        <v>7</v>
      </c>
      <c r="B28" s="52" t="s">
        <v>138</v>
      </c>
      <c r="C28" s="53">
        <v>33</v>
      </c>
      <c r="D28" s="71" t="str">
        <f>VLOOKUP($C28,DosF2C!$B$7:$E$100,2)</f>
        <v>SURKOV O. / BALEZINE V.</v>
      </c>
      <c r="E28" s="72">
        <f>VLOOKUP($C28,DosF2C!$B$7:$E$100,3)</f>
        <v>0</v>
      </c>
      <c r="F28" s="73" t="str">
        <f>VLOOKUP($C28,DosF2C!$B$7:$E$100,4)</f>
        <v>RUS</v>
      </c>
      <c r="G28" s="87" t="s">
        <v>160</v>
      </c>
      <c r="H28" s="87"/>
      <c r="I28" s="56"/>
      <c r="J28" s="57"/>
      <c r="K28" s="423" t="s">
        <v>281</v>
      </c>
    </row>
    <row r="29" spans="1:11" ht="12.75">
      <c r="A29" s="58">
        <f>A25+2*$A$73</f>
        <v>0.6416666666666666</v>
      </c>
      <c r="B29" s="59" t="s">
        <v>139</v>
      </c>
      <c r="C29" s="60">
        <v>29</v>
      </c>
      <c r="D29" s="74" t="str">
        <f>VLOOKUP($C29,DosF2C!$B$7:$E$100,2)</f>
        <v>ZUCHOWSKI M. / DABROWSKI K.</v>
      </c>
      <c r="E29" s="75" t="str">
        <f>VLOOKUP($C29,DosF2C!$B$7:$E$100,3)</f>
        <v>Jun</v>
      </c>
      <c r="F29" s="76" t="str">
        <f>VLOOKUP($C29,DosF2C!$B$7:$E$100,4)</f>
        <v>POL</v>
      </c>
      <c r="G29" s="87"/>
      <c r="H29" s="87"/>
      <c r="I29" s="56"/>
      <c r="J29" s="63"/>
      <c r="K29" s="423" t="s">
        <v>282</v>
      </c>
    </row>
    <row r="30" spans="1:11" ht="12.75">
      <c r="A30" s="64"/>
      <c r="B30" s="65" t="s">
        <v>140</v>
      </c>
      <c r="C30" s="66">
        <v>31</v>
      </c>
      <c r="D30" s="77" t="str">
        <f>VLOOKUP($C30,DosF2C!$B$7:$E$100,2)</f>
        <v>MORTINHO A. / GOULAO J.</v>
      </c>
      <c r="E30" s="79">
        <f>VLOOKUP($C30,DosF2C!$B$7:$E$100,3)</f>
        <v>0</v>
      </c>
      <c r="F30" s="78" t="str">
        <f>VLOOKUP($C30,DosF2C!$B$7:$E$100,4)</f>
        <v>POR</v>
      </c>
      <c r="G30" s="87" t="s">
        <v>161</v>
      </c>
      <c r="H30" s="87"/>
      <c r="I30" s="56"/>
      <c r="J30" s="67"/>
      <c r="K30" s="423" t="s">
        <v>283</v>
      </c>
    </row>
    <row r="31" spans="1:11" ht="13.5">
      <c r="A31" s="51">
        <f>(ROW(A31)-7)/3</f>
        <v>8</v>
      </c>
      <c r="B31" s="52" t="s">
        <v>138</v>
      </c>
      <c r="C31" s="53">
        <v>6</v>
      </c>
      <c r="D31" s="71" t="str">
        <f>VLOOKUP($C31,DosF2C!$B$7:$E$100,2)</f>
        <v>NITSCHE H. / NITSCHE H.</v>
      </c>
      <c r="E31" s="72">
        <f>VLOOKUP($C31,DosF2C!$B$7:$E$100,3)</f>
        <v>0</v>
      </c>
      <c r="F31" s="73" t="str">
        <f>VLOOKUP($C31,DosF2C!$B$7:$E$100,4)</f>
        <v>AUT</v>
      </c>
      <c r="G31" s="87" t="s">
        <v>157</v>
      </c>
      <c r="H31" s="87" t="s">
        <v>157</v>
      </c>
      <c r="I31" s="56"/>
      <c r="J31" s="57"/>
      <c r="K31" s="423" t="s">
        <v>284</v>
      </c>
    </row>
    <row r="32" spans="1:11" ht="12.75">
      <c r="A32" s="58">
        <f>A29+$A$73</f>
        <v>0.6499999999999999</v>
      </c>
      <c r="B32" s="59" t="s">
        <v>139</v>
      </c>
      <c r="C32" s="60">
        <v>28</v>
      </c>
      <c r="D32" s="74" t="str">
        <f>VLOOKUP($C32,DosF2C!$B$7:$E$100,2)</f>
        <v>VENDEL Micha / METKEMEIJER R.</v>
      </c>
      <c r="E32" s="75">
        <f>VLOOKUP($C32,DosF2C!$B$7:$E$100,3)</f>
        <v>0</v>
      </c>
      <c r="F32" s="76" t="str">
        <f>VLOOKUP($C32,DosF2C!$B$7:$E$100,4)</f>
        <v>NED</v>
      </c>
      <c r="G32" s="87" t="s">
        <v>162</v>
      </c>
      <c r="H32" s="87" t="s">
        <v>162</v>
      </c>
      <c r="I32" s="56"/>
      <c r="J32" s="63"/>
      <c r="K32" s="423" t="s">
        <v>285</v>
      </c>
    </row>
    <row r="33" spans="1:11" ht="12.75">
      <c r="A33" s="64"/>
      <c r="B33" s="65" t="s">
        <v>140</v>
      </c>
      <c r="C33" s="66">
        <v>9</v>
      </c>
      <c r="D33" s="77" t="str">
        <f>VLOOKUP($C33,DosF2C!$B$7:$E$100,2)</f>
        <v>JAREBEK J. / PARENT K.</v>
      </c>
      <c r="E33" s="79">
        <f>VLOOKUP($C33,DosF2C!$B$7:$E$100,3)</f>
        <v>0</v>
      </c>
      <c r="F33" s="78" t="str">
        <f>VLOOKUP($C33,DosF2C!$B$7:$E$100,4)</f>
        <v>CAN</v>
      </c>
      <c r="G33" s="87" t="s">
        <v>157</v>
      </c>
      <c r="H33" s="87" t="s">
        <v>157</v>
      </c>
      <c r="I33" s="56"/>
      <c r="J33" s="67"/>
      <c r="K33" s="423" t="s">
        <v>286</v>
      </c>
    </row>
    <row r="34" spans="1:11" ht="13.5">
      <c r="A34" s="51">
        <f>(ROW(A34)-7)/3</f>
        <v>9</v>
      </c>
      <c r="B34" s="52" t="s">
        <v>138</v>
      </c>
      <c r="C34" s="53">
        <v>7</v>
      </c>
      <c r="D34" s="71" t="str">
        <f>VLOOKUP($C34,DosF2C!$B$7:$E$100,2)</f>
        <v>DESSAUCY L. / DESSAUCY J. </v>
      </c>
      <c r="E34" s="72">
        <f>VLOOKUP($C34,DosF2C!$B$7:$E$100,3)</f>
        <v>0</v>
      </c>
      <c r="F34" s="73" t="str">
        <f>VLOOKUP($C34,DosF2C!$B$7:$E$100,4)</f>
        <v>BEL</v>
      </c>
      <c r="G34" s="87"/>
      <c r="H34" s="87"/>
      <c r="I34" s="56"/>
      <c r="J34" s="57" t="s">
        <v>224</v>
      </c>
      <c r="K34" s="423"/>
    </row>
    <row r="35" spans="1:11" ht="12.75">
      <c r="A35" s="58">
        <f>A32+$A$73</f>
        <v>0.6583333333333332</v>
      </c>
      <c r="B35" s="59" t="s">
        <v>139</v>
      </c>
      <c r="C35" s="60">
        <v>50</v>
      </c>
      <c r="D35" s="74" t="str">
        <f>VLOOKUP($C35,DosF2C!$B$7:$E$100,2)</f>
        <v>BALLARD J. / LAMBERT D.</v>
      </c>
      <c r="E35" s="75">
        <f>VLOOKUP($C35,DosF2C!$B$7:$E$100,3)</f>
        <v>0</v>
      </c>
      <c r="F35" s="76" t="str">
        <f>VLOOKUP($C35,DosF2C!$B$7:$E$100,4)</f>
        <v>USA</v>
      </c>
      <c r="G35" s="87"/>
      <c r="H35" s="87"/>
      <c r="I35" s="56"/>
      <c r="J35" s="63" t="s">
        <v>278</v>
      </c>
      <c r="K35" s="423" t="s">
        <v>225</v>
      </c>
    </row>
    <row r="36" spans="1:11" ht="12.75">
      <c r="A36" s="64"/>
      <c r="B36" s="65" t="s">
        <v>140</v>
      </c>
      <c r="C36" s="66">
        <v>42</v>
      </c>
      <c r="D36" s="77" t="str">
        <f>VLOOKUP($C36,DosF2C!$B$7:$E$100,2)</f>
        <v>BORER H. / SACCAVINO C.</v>
      </c>
      <c r="E36" s="79">
        <f>VLOOKUP($C36,DosF2C!$B$7:$E$100,3)</f>
        <v>0</v>
      </c>
      <c r="F36" s="78" t="str">
        <f>VLOOKUP($C36,DosF2C!$B$7:$E$100,4)</f>
        <v>SUI</v>
      </c>
      <c r="G36" s="87"/>
      <c r="H36" s="87"/>
      <c r="I36" s="56"/>
      <c r="J36" s="67" t="s">
        <v>224</v>
      </c>
      <c r="K36" s="423"/>
    </row>
    <row r="37" spans="1:11" ht="13.5">
      <c r="A37" s="51">
        <f>(ROW(A37)-7)/3</f>
        <v>10</v>
      </c>
      <c r="B37" s="52" t="s">
        <v>138</v>
      </c>
      <c r="C37" s="53">
        <v>34</v>
      </c>
      <c r="D37" s="71" t="str">
        <f>VLOOKUP($C37,DosF2C!$B$7:$E$100,2)</f>
        <v>TITOV V. / JOUGOV V.</v>
      </c>
      <c r="E37" s="72">
        <f>VLOOKUP($C37,DosF2C!$B$7:$E$100,3)</f>
        <v>0</v>
      </c>
      <c r="F37" s="73" t="str">
        <f>VLOOKUP($C37,DosF2C!$B$7:$E$100,4)</f>
        <v>RUS</v>
      </c>
      <c r="G37" s="87" t="s">
        <v>162</v>
      </c>
      <c r="H37" s="87" t="s">
        <v>261</v>
      </c>
      <c r="I37" s="56"/>
      <c r="J37" s="57"/>
      <c r="K37" s="423" t="s">
        <v>289</v>
      </c>
    </row>
    <row r="38" spans="1:11" ht="12.75">
      <c r="A38" s="58">
        <f>A35+$A$73</f>
        <v>0.6666666666666665</v>
      </c>
      <c r="B38" s="59" t="s">
        <v>139</v>
      </c>
      <c r="C38" s="60">
        <v>47</v>
      </c>
      <c r="D38" s="74" t="str">
        <f>VLOOKUP($C38,DosF2C!$B$7:$E$100,2)</f>
        <v>ZHURAVLYOV V. / SOSNOVSKIY V.</v>
      </c>
      <c r="E38" s="75">
        <f>VLOOKUP($C38,DosF2C!$B$7:$E$100,3)</f>
        <v>0</v>
      </c>
      <c r="F38" s="76" t="str">
        <f>VLOOKUP($C38,DosF2C!$B$7:$E$100,4)</f>
        <v>UKR</v>
      </c>
      <c r="G38" s="87" t="s">
        <v>157</v>
      </c>
      <c r="H38" s="87" t="s">
        <v>157</v>
      </c>
      <c r="I38" s="56"/>
      <c r="J38" s="63"/>
      <c r="K38" s="423" t="s">
        <v>288</v>
      </c>
    </row>
    <row r="39" spans="1:11" ht="12.75">
      <c r="A39" s="64"/>
      <c r="B39" s="65" t="s">
        <v>140</v>
      </c>
      <c r="C39" s="66">
        <v>17</v>
      </c>
      <c r="D39" s="77" t="str">
        <f>VLOOKUP($C39,DosF2C!$B$7:$E$100,2)</f>
        <v>LINDEMANN R. / KIEL U.</v>
      </c>
      <c r="E39" s="79">
        <f>VLOOKUP($C39,DosF2C!$B$7:$E$100,3)</f>
        <v>0</v>
      </c>
      <c r="F39" s="78" t="str">
        <f>VLOOKUP($C39,DosF2C!$B$7:$E$100,4)</f>
        <v>GER</v>
      </c>
      <c r="G39" s="87" t="s">
        <v>160</v>
      </c>
      <c r="H39" s="87"/>
      <c r="I39" s="56"/>
      <c r="J39" s="67"/>
      <c r="K39" s="423" t="s">
        <v>287</v>
      </c>
    </row>
    <row r="40" spans="1:11" ht="13.5">
      <c r="A40" s="51">
        <f>(ROW(A40)-7)/3</f>
        <v>11</v>
      </c>
      <c r="B40" s="52" t="s">
        <v>138</v>
      </c>
      <c r="C40" s="53">
        <v>32</v>
      </c>
      <c r="D40" s="71" t="str">
        <f>VLOOKUP($C40,DosF2C!$B$7:$E$100,2)</f>
        <v>CHABACHOV J. / MOSKALEEV S.</v>
      </c>
      <c r="E40" s="72">
        <f>VLOOKUP($C40,DosF2C!$B$7:$E$100,3)</f>
        <v>0</v>
      </c>
      <c r="F40" s="73" t="str">
        <f>VLOOKUP($C40,DosF2C!$B$7:$E$100,4)</f>
        <v>RUS</v>
      </c>
      <c r="G40" s="87"/>
      <c r="H40" s="87"/>
      <c r="I40" s="56"/>
      <c r="J40" s="57" t="s">
        <v>224</v>
      </c>
      <c r="K40" s="423"/>
    </row>
    <row r="41" spans="1:11" ht="12.75">
      <c r="A41" s="58">
        <f>A38+$A$73</f>
        <v>0.6749999999999998</v>
      </c>
      <c r="B41" s="59" t="s">
        <v>139</v>
      </c>
      <c r="C41" s="60">
        <v>41</v>
      </c>
      <c r="D41" s="74" t="str">
        <f>VLOOKUP($C41,DosF2C!$B$7:$E$100,2)</f>
        <v>GUSTAFSSON J. / BJÖHOLM S.</v>
      </c>
      <c r="E41" s="75">
        <f>VLOOKUP($C41,DosF2C!$B$7:$E$100,3)</f>
        <v>0</v>
      </c>
      <c r="F41" s="76" t="str">
        <f>VLOOKUP($C41,DosF2C!$B$7:$E$100,4)</f>
        <v>SWE</v>
      </c>
      <c r="G41" s="87"/>
      <c r="H41" s="87"/>
      <c r="I41" s="56"/>
      <c r="J41" s="63" t="s">
        <v>224</v>
      </c>
      <c r="K41" s="423"/>
    </row>
    <row r="42" spans="1:11" ht="12.75">
      <c r="A42" s="64"/>
      <c r="B42" s="65" t="s">
        <v>140</v>
      </c>
      <c r="C42" s="66">
        <v>39</v>
      </c>
      <c r="D42" s="77" t="str">
        <f>VLOOKUP($C42,DosF2C!$B$7:$E$100,2)</f>
        <v>LOH P. / CHING M. </v>
      </c>
      <c r="E42" s="79">
        <f>VLOOKUP($C42,DosF2C!$B$7:$E$100,3)</f>
        <v>0</v>
      </c>
      <c r="F42" s="78" t="str">
        <f>VLOOKUP($C42,DosF2C!$B$7:$E$100,4)</f>
        <v>SIN</v>
      </c>
      <c r="G42" s="87"/>
      <c r="H42" s="87"/>
      <c r="I42" s="56"/>
      <c r="J42" s="67" t="s">
        <v>278</v>
      </c>
      <c r="K42" s="423"/>
    </row>
    <row r="43" spans="1:11" ht="13.5">
      <c r="A43" s="51">
        <f>(ROW(A43)-7)/3</f>
        <v>12</v>
      </c>
      <c r="B43" s="52" t="s">
        <v>138</v>
      </c>
      <c r="C43" s="53">
        <v>24</v>
      </c>
      <c r="D43" s="71" t="str">
        <f>VLOOKUP($C43,DosF2C!$B$7:$E$100,2)</f>
        <v>PENNISI R. / ROSSI A.</v>
      </c>
      <c r="E43" s="72">
        <f>VLOOKUP($C43,DosF2C!$B$7:$E$100,3)</f>
        <v>0</v>
      </c>
      <c r="F43" s="73" t="str">
        <f>VLOOKUP($C43,DosF2C!$B$7:$E$100,4)</f>
        <v>ITA</v>
      </c>
      <c r="G43" s="87" t="s">
        <v>157</v>
      </c>
      <c r="H43" s="87"/>
      <c r="I43" s="56"/>
      <c r="J43" s="57" t="s">
        <v>158</v>
      </c>
      <c r="K43" s="423"/>
    </row>
    <row r="44" spans="1:11" ht="12.75">
      <c r="A44" s="58">
        <f>A41+$A$73</f>
        <v>0.6833333333333331</v>
      </c>
      <c r="B44" s="59" t="s">
        <v>139</v>
      </c>
      <c r="C44" s="60">
        <v>22</v>
      </c>
      <c r="D44" s="74" t="str">
        <f>VLOOKUP($C44,DosF2C!$B$7:$E$100,2)</f>
        <v>ORVOS F. / NAGY Z.</v>
      </c>
      <c r="E44" s="75">
        <f>VLOOKUP($C44,DosF2C!$B$7:$E$100,3)</f>
        <v>0</v>
      </c>
      <c r="F44" s="76" t="str">
        <f>VLOOKUP($C44,DosF2C!$B$7:$E$100,4)</f>
        <v>HUN</v>
      </c>
      <c r="G44" s="87"/>
      <c r="H44" s="87"/>
      <c r="I44" s="56"/>
      <c r="J44" s="63" t="s">
        <v>177</v>
      </c>
      <c r="K44" s="423" t="s">
        <v>159</v>
      </c>
    </row>
    <row r="45" spans="1:11" ht="12.75">
      <c r="A45" s="64"/>
      <c r="B45" s="65" t="s">
        <v>140</v>
      </c>
      <c r="C45" s="66">
        <v>4</v>
      </c>
      <c r="D45" s="77" t="str">
        <f>VLOOKUP($C45,DosF2C!$B$7:$E$100,2)</f>
        <v>WILSON G. / STEIN P.</v>
      </c>
      <c r="E45" s="79">
        <f>VLOOKUP($C45,DosF2C!$B$7:$E$100,3)</f>
        <v>0</v>
      </c>
      <c r="F45" s="78" t="str">
        <f>VLOOKUP($C45,DosF2C!$B$7:$E$100,4)</f>
        <v>AUS</v>
      </c>
      <c r="G45" s="87"/>
      <c r="H45" s="87"/>
      <c r="I45" s="56"/>
      <c r="J45" s="67" t="s">
        <v>158</v>
      </c>
      <c r="K45" s="423"/>
    </row>
    <row r="46" spans="1:11" s="1" customFormat="1" ht="12.75">
      <c r="A46" s="49"/>
      <c r="B46" s="40"/>
      <c r="C46" s="41"/>
      <c r="D46" s="86"/>
      <c r="E46" s="34"/>
      <c r="F46" s="87"/>
      <c r="G46" s="87"/>
      <c r="H46" s="87"/>
      <c r="I46" s="56"/>
      <c r="J46" s="86"/>
      <c r="K46" s="423"/>
    </row>
    <row r="47" spans="1:11" ht="13.5">
      <c r="A47" s="51">
        <f>(ROW(A47)-8)/3</f>
        <v>13</v>
      </c>
      <c r="B47" s="52" t="s">
        <v>138</v>
      </c>
      <c r="C47" s="53">
        <v>40</v>
      </c>
      <c r="D47" s="71" t="str">
        <f>VLOOKUP($C47,DosF2C!$B$7:$E$100,2)</f>
        <v>SAMUELSSON B. O. / AXTILIUS K.</v>
      </c>
      <c r="E47" s="72">
        <f>VLOOKUP($C47,DosF2C!$B$7:$E$100,3)</f>
        <v>0</v>
      </c>
      <c r="F47" s="73" t="str">
        <f>VLOOKUP($C47,DosF2C!$B$7:$E$100,4)</f>
        <v>SWE</v>
      </c>
      <c r="G47" s="87"/>
      <c r="H47" s="87"/>
      <c r="I47" s="56"/>
      <c r="J47" s="57"/>
      <c r="K47" s="423" t="s">
        <v>290</v>
      </c>
    </row>
    <row r="48" spans="1:11" ht="12.75">
      <c r="A48" s="58">
        <f>A44+2*$A$73</f>
        <v>0.6999999999999998</v>
      </c>
      <c r="B48" s="59" t="s">
        <v>139</v>
      </c>
      <c r="C48" s="60">
        <v>12</v>
      </c>
      <c r="D48" s="74" t="str">
        <f>VLOOKUP($C48,DosF2C!$B$7:$E$100,2)</f>
        <v>LOPEZ J. / DEL HOYO C. </v>
      </c>
      <c r="E48" s="75">
        <f>VLOOKUP($C48,DosF2C!$B$7:$E$100,3)</f>
        <v>0</v>
      </c>
      <c r="F48" s="76" t="str">
        <f>VLOOKUP($C48,DosF2C!$B$7:$E$100,4)</f>
        <v>ESP</v>
      </c>
      <c r="G48" s="87" t="s">
        <v>157</v>
      </c>
      <c r="H48" s="87" t="s">
        <v>157</v>
      </c>
      <c r="I48" s="56"/>
      <c r="J48" s="63"/>
      <c r="K48" s="423" t="s">
        <v>291</v>
      </c>
    </row>
    <row r="49" spans="1:11" ht="12.75">
      <c r="A49" s="64"/>
      <c r="B49" s="65" t="s">
        <v>140</v>
      </c>
      <c r="C49" s="66">
        <v>13</v>
      </c>
      <c r="D49" s="77" t="str">
        <f>VLOOKUP($C49,DosF2C!$B$7:$E$100,2)</f>
        <v>MARET J. / PERRET J.P.</v>
      </c>
      <c r="E49" s="79">
        <f>VLOOKUP($C49,DosF2C!$B$7:$E$100,3)</f>
        <v>0</v>
      </c>
      <c r="F49" s="78" t="str">
        <f>VLOOKUP($C49,DosF2C!$B$7:$E$100,4)</f>
        <v>FRA</v>
      </c>
      <c r="G49" s="87" t="s">
        <v>162</v>
      </c>
      <c r="H49" s="87" t="s">
        <v>186</v>
      </c>
      <c r="I49" s="56"/>
      <c r="J49" s="67"/>
      <c r="K49" s="423" t="s">
        <v>292</v>
      </c>
    </row>
    <row r="50" spans="1:11" ht="13.5">
      <c r="A50" s="51">
        <f>(ROW(A50)-8)/3</f>
        <v>14</v>
      </c>
      <c r="B50" s="52" t="s">
        <v>138</v>
      </c>
      <c r="C50" s="53">
        <v>23</v>
      </c>
      <c r="D50" s="71" t="str">
        <f>VLOOKUP($C50,DosF2C!$B$7:$E$100,2)</f>
        <v>MOHAI I. / SZVACSEK F.</v>
      </c>
      <c r="E50" s="72">
        <f>VLOOKUP($C50,DosF2C!$B$7:$E$100,3)</f>
        <v>0</v>
      </c>
      <c r="F50" s="73" t="str">
        <f>VLOOKUP($C50,DosF2C!$B$7:$E$100,4)</f>
        <v>HUN</v>
      </c>
      <c r="G50" s="87" t="s">
        <v>157</v>
      </c>
      <c r="H50" s="87" t="s">
        <v>161</v>
      </c>
      <c r="I50" s="56"/>
      <c r="J50" s="57"/>
      <c r="K50" s="423" t="s">
        <v>293</v>
      </c>
    </row>
    <row r="51" spans="1:11" ht="12.75">
      <c r="A51" s="58">
        <f>A48+$A$73</f>
        <v>0.7083333333333331</v>
      </c>
      <c r="B51" s="59" t="s">
        <v>139</v>
      </c>
      <c r="C51" s="60">
        <v>37</v>
      </c>
      <c r="D51" s="74" t="str">
        <f>VLOOKUP($C51,DosF2C!$B$7:$E$100,2)</f>
        <v>ONG R. / SU D.</v>
      </c>
      <c r="E51" s="75">
        <f>VLOOKUP($C51,DosF2C!$B$7:$E$100,3)</f>
        <v>0</v>
      </c>
      <c r="F51" s="76" t="str">
        <f>VLOOKUP($C51,DosF2C!$B$7:$E$100,4)</f>
        <v>SIN</v>
      </c>
      <c r="G51" s="87" t="s">
        <v>161</v>
      </c>
      <c r="H51" s="87" t="s">
        <v>161</v>
      </c>
      <c r="I51" s="56"/>
      <c r="J51" s="63"/>
      <c r="K51" s="423" t="s">
        <v>294</v>
      </c>
    </row>
    <row r="52" spans="1:11" ht="12.75">
      <c r="A52" s="64"/>
      <c r="B52" s="65" t="s">
        <v>140</v>
      </c>
      <c r="C52" s="66">
        <v>30</v>
      </c>
      <c r="D52" s="77" t="str">
        <f>VLOOKUP($C52,DosF2C!$B$7:$E$100,2)</f>
        <v>CONTENTE A. / SECO F.</v>
      </c>
      <c r="E52" s="79">
        <f>VLOOKUP($C52,DosF2C!$B$7:$E$100,3)</f>
        <v>0</v>
      </c>
      <c r="F52" s="78" t="str">
        <f>VLOOKUP($C52,DosF2C!$B$7:$E$100,4)</f>
        <v>POR</v>
      </c>
      <c r="G52" s="87" t="s">
        <v>157</v>
      </c>
      <c r="H52" s="87" t="s">
        <v>186</v>
      </c>
      <c r="I52" s="56"/>
      <c r="J52" s="67"/>
      <c r="K52" s="423" t="s">
        <v>295</v>
      </c>
    </row>
    <row r="53" spans="1:11" ht="13.5">
      <c r="A53" s="51">
        <f>(ROW(A53)-8)/3</f>
        <v>15</v>
      </c>
      <c r="B53" s="52" t="s">
        <v>138</v>
      </c>
      <c r="C53" s="53">
        <v>21</v>
      </c>
      <c r="D53" s="71" t="str">
        <f>VLOOKUP($C53,DosF2C!$B$7:$E$100,2)</f>
        <v>SMITH S. / BROWN C.</v>
      </c>
      <c r="E53" s="72">
        <f>VLOOKUP($C53,DosF2C!$B$7:$E$100,3)</f>
        <v>0</v>
      </c>
      <c r="F53" s="73" t="str">
        <f>VLOOKUP($C53,DosF2C!$B$7:$E$100,4)</f>
        <v>GBR</v>
      </c>
      <c r="G53" s="87" t="s">
        <v>162</v>
      </c>
      <c r="H53" s="87"/>
      <c r="I53" s="56"/>
      <c r="J53" s="424"/>
      <c r="K53" s="423" t="s">
        <v>296</v>
      </c>
    </row>
    <row r="54" spans="1:11" ht="12.75">
      <c r="A54" s="58">
        <f>A51+$A$73</f>
        <v>0.7166666666666665</v>
      </c>
      <c r="B54" s="59" t="s">
        <v>139</v>
      </c>
      <c r="C54" s="60">
        <v>45</v>
      </c>
      <c r="D54" s="74" t="str">
        <f>VLOOKUP($C54,DosF2C!$B$7:$E$100,2)</f>
        <v>BONDARENKO Y. / LERNER S.</v>
      </c>
      <c r="E54" s="75">
        <f>VLOOKUP($C54,DosF2C!$B$7:$E$100,3)</f>
        <v>0</v>
      </c>
      <c r="F54" s="76" t="str">
        <f>VLOOKUP($C54,DosF2C!$B$7:$E$100,4)</f>
        <v>UKR</v>
      </c>
      <c r="G54" s="87"/>
      <c r="H54" s="87"/>
      <c r="I54" s="56"/>
      <c r="J54" s="63" t="s">
        <v>306</v>
      </c>
      <c r="K54" s="423" t="s">
        <v>159</v>
      </c>
    </row>
    <row r="55" spans="1:11" ht="12.75">
      <c r="A55" s="64"/>
      <c r="B55" s="65" t="s">
        <v>140</v>
      </c>
      <c r="C55" s="66">
        <v>2</v>
      </c>
      <c r="D55" s="77" t="str">
        <f>VLOOKUP($C55,DosF2C!$B$7:$E$100,2)</f>
        <v>CAMERON P. / FITZGERALD R.</v>
      </c>
      <c r="E55" s="79">
        <f>VLOOKUP($C55,DosF2C!$B$7:$E$100,3)</f>
        <v>0</v>
      </c>
      <c r="F55" s="78" t="str">
        <f>VLOOKUP($C55,DosF2C!$B$7:$E$100,4)</f>
        <v>AUS</v>
      </c>
      <c r="G55" s="87"/>
      <c r="H55" s="87"/>
      <c r="I55" s="56"/>
      <c r="J55" s="67" t="s">
        <v>158</v>
      </c>
      <c r="K55" s="423"/>
    </row>
    <row r="56" spans="1:11" ht="13.5">
      <c r="A56" s="51">
        <f>(ROW(A56)-8)/3</f>
        <v>16</v>
      </c>
      <c r="B56" s="52" t="s">
        <v>138</v>
      </c>
      <c r="C56" s="53">
        <v>11</v>
      </c>
      <c r="D56" s="71" t="str">
        <f>VLOOKUP($C56,DosF2C!$B$7:$E$100,2)</f>
        <v>CRESPI M. / CRESPI P.</v>
      </c>
      <c r="E56" s="72">
        <f>VLOOKUP($C56,DosF2C!$B$7:$E$100,3)</f>
        <v>0</v>
      </c>
      <c r="F56" s="73" t="str">
        <f>VLOOKUP($C56,DosF2C!$B$7:$E$100,4)</f>
        <v>ESP</v>
      </c>
      <c r="G56" s="87" t="s">
        <v>157</v>
      </c>
      <c r="H56" s="87" t="s">
        <v>157</v>
      </c>
      <c r="I56" s="56" t="s">
        <v>162</v>
      </c>
      <c r="J56" s="57"/>
      <c r="K56" s="423" t="s">
        <v>159</v>
      </c>
    </row>
    <row r="57" spans="1:11" ht="12.75">
      <c r="A57" s="58">
        <f>A54+$A$73</f>
        <v>0.7249999999999998</v>
      </c>
      <c r="B57" s="59" t="s">
        <v>139</v>
      </c>
      <c r="C57" s="60">
        <v>26</v>
      </c>
      <c r="D57" s="74" t="str">
        <f>VLOOKUP($C57,DosF2C!$B$7:$E$100,2)</f>
        <v>MARTINI G. / MENOZZI M.</v>
      </c>
      <c r="E57" s="75">
        <f>VLOOKUP($C57,DosF2C!$B$7:$E$100,3)</f>
        <v>0</v>
      </c>
      <c r="F57" s="76" t="str">
        <f>VLOOKUP($C57,DosF2C!$B$7:$E$100,4)</f>
        <v>ITA</v>
      </c>
      <c r="G57" s="87" t="s">
        <v>157</v>
      </c>
      <c r="H57" s="87" t="s">
        <v>157</v>
      </c>
      <c r="I57" s="56"/>
      <c r="J57" s="63"/>
      <c r="K57" s="423" t="s">
        <v>298</v>
      </c>
    </row>
    <row r="58" spans="1:11" ht="12.75">
      <c r="A58" s="64"/>
      <c r="B58" s="65" t="s">
        <v>140</v>
      </c>
      <c r="C58" s="66">
        <v>51</v>
      </c>
      <c r="D58" s="74" t="str">
        <f>VLOOKUP($C58,DosF2C!$B$7:$E$100,2)</f>
        <v>WILLOUGHBY S. / OGE B.</v>
      </c>
      <c r="E58" s="75">
        <f>VLOOKUP($C58,DosF2C!$B$7:$E$100,3)</f>
        <v>0</v>
      </c>
      <c r="F58" s="76" t="str">
        <f>VLOOKUP($C58,DosF2C!$B$7:$E$100,4)</f>
        <v>USA</v>
      </c>
      <c r="G58" s="87" t="s">
        <v>157</v>
      </c>
      <c r="H58" s="87" t="s">
        <v>157</v>
      </c>
      <c r="I58" s="56"/>
      <c r="J58" s="67"/>
      <c r="K58" s="423" t="s">
        <v>297</v>
      </c>
    </row>
    <row r="59" spans="1:11" ht="13.5">
      <c r="A59" s="51">
        <f>(ROW(A59)-8)/3</f>
        <v>17</v>
      </c>
      <c r="B59" s="52" t="s">
        <v>138</v>
      </c>
      <c r="C59" s="53">
        <v>49</v>
      </c>
      <c r="D59" s="71" t="str">
        <f>VLOOKUP($C59,DosF2C!$B$7:$E$100,2)</f>
        <v>ASCHER A. / ASCHER L.</v>
      </c>
      <c r="E59" s="72">
        <f>VLOOKUP($C59,DosF2C!$B$7:$E$100,3)</f>
        <v>0</v>
      </c>
      <c r="F59" s="73" t="str">
        <f>VLOOKUP($C59,DosF2C!$B$7:$E$100,4)</f>
        <v>USA</v>
      </c>
      <c r="G59" s="87" t="s">
        <v>157</v>
      </c>
      <c r="H59" s="87" t="s">
        <v>157</v>
      </c>
      <c r="I59" s="56"/>
      <c r="J59" s="57"/>
      <c r="K59" s="423" t="s">
        <v>300</v>
      </c>
    </row>
    <row r="60" spans="1:11" ht="12.75">
      <c r="A60" s="58">
        <f>A57+$A$73</f>
        <v>0.7333333333333331</v>
      </c>
      <c r="B60" s="59" t="s">
        <v>139</v>
      </c>
      <c r="C60" s="60">
        <v>43</v>
      </c>
      <c r="D60" s="74" t="str">
        <f>VLOOKUP($C60,DosF2C!$B$7:$E$100,2)</f>
        <v>MUELLER R. / SACCAVINO V.</v>
      </c>
      <c r="E60" s="75">
        <f>VLOOKUP($C60,DosF2C!$B$7:$E$100,3)</f>
        <v>0</v>
      </c>
      <c r="F60" s="76" t="str">
        <f>VLOOKUP($C60,DosF2C!$B$7:$E$100,4)</f>
        <v>SUI</v>
      </c>
      <c r="G60" s="87"/>
      <c r="H60" s="87"/>
      <c r="I60" s="56"/>
      <c r="J60" s="63"/>
      <c r="K60" s="423" t="s">
        <v>183</v>
      </c>
    </row>
    <row r="61" spans="1:11" ht="12.75">
      <c r="A61" s="64"/>
      <c r="B61" s="65" t="s">
        <v>140</v>
      </c>
      <c r="C61" s="66">
        <v>25</v>
      </c>
      <c r="D61" s="74" t="str">
        <f>VLOOKUP($C61,DosF2C!$B$7:$E$100,2)</f>
        <v>MAGLI M./  PIRAZZINI E.</v>
      </c>
      <c r="E61" s="75">
        <f>VLOOKUP($C61,DosF2C!$B$7:$E$100,3)</f>
        <v>0</v>
      </c>
      <c r="F61" s="76" t="str">
        <f>VLOOKUP($C61,DosF2C!$B$7:$E$100,4)</f>
        <v>ITA</v>
      </c>
      <c r="G61" s="87" t="s">
        <v>157</v>
      </c>
      <c r="H61" s="87" t="s">
        <v>161</v>
      </c>
      <c r="I61" s="56"/>
      <c r="J61" s="67"/>
      <c r="K61" s="423" t="s">
        <v>169</v>
      </c>
    </row>
    <row r="62" spans="1:11" ht="13.5">
      <c r="A62" s="51">
        <f>(ROW(A62)-8)/3</f>
        <v>18</v>
      </c>
      <c r="B62" s="52" t="s">
        <v>138</v>
      </c>
      <c r="C62" s="53">
        <v>24</v>
      </c>
      <c r="D62" s="74" t="str">
        <f>VLOOKUP($C62,DosF2C!$B$7:$E$100,2)</f>
        <v>PENNISI R. / ROSSI A.</v>
      </c>
      <c r="E62" s="75">
        <f>VLOOKUP($C62,DosF2C!$B$7:$E$100,3)</f>
        <v>0</v>
      </c>
      <c r="F62" s="76" t="str">
        <f>VLOOKUP($C62,DosF2C!$B$7:$E$100,4)</f>
        <v>ITA</v>
      </c>
      <c r="G62" s="87" t="s">
        <v>157</v>
      </c>
      <c r="H62" s="87" t="s">
        <v>161</v>
      </c>
      <c r="I62" s="56" t="s">
        <v>157</v>
      </c>
      <c r="J62" s="57"/>
      <c r="K62" s="423" t="s">
        <v>159</v>
      </c>
    </row>
    <row r="63" spans="1:11" ht="12.75">
      <c r="A63" s="58">
        <f>A60+$A$73</f>
        <v>0.7416666666666664</v>
      </c>
      <c r="B63" s="59" t="s">
        <v>139</v>
      </c>
      <c r="C63" s="60">
        <v>7</v>
      </c>
      <c r="D63" s="74" t="str">
        <f>VLOOKUP($C63,DosF2C!$B$7:$E$100,2)</f>
        <v>DESSAUCY L. / DESSAUCY J. </v>
      </c>
      <c r="E63" s="75">
        <f>VLOOKUP($C63,DosF2C!$B$7:$E$100,3)</f>
        <v>0</v>
      </c>
      <c r="F63" s="76" t="str">
        <f>VLOOKUP($C63,DosF2C!$B$7:$E$100,4)</f>
        <v>BEL</v>
      </c>
      <c r="G63" s="87"/>
      <c r="H63" s="87"/>
      <c r="I63" s="56"/>
      <c r="J63" s="63"/>
      <c r="K63" s="423" t="s">
        <v>256</v>
      </c>
    </row>
    <row r="64" spans="1:11" ht="12.75">
      <c r="A64" s="64"/>
      <c r="B64" s="65" t="s">
        <v>140</v>
      </c>
      <c r="C64" s="66">
        <v>42</v>
      </c>
      <c r="D64" s="74" t="str">
        <f>VLOOKUP($C64,DosF2C!$B$7:$E$100,2)</f>
        <v>BORER H. / SACCAVINO C.</v>
      </c>
      <c r="E64" s="75">
        <f>VLOOKUP($C64,DosF2C!$B$7:$E$100,3)</f>
        <v>0</v>
      </c>
      <c r="F64" s="76" t="str">
        <f>VLOOKUP($C64,DosF2C!$B$7:$E$100,4)</f>
        <v>SUI</v>
      </c>
      <c r="G64" s="87"/>
      <c r="H64" s="87"/>
      <c r="I64" s="56"/>
      <c r="J64" s="67"/>
      <c r="K64" s="423" t="s">
        <v>301</v>
      </c>
    </row>
    <row r="65" spans="1:11" s="1" customFormat="1" ht="12.75">
      <c r="A65" s="49"/>
      <c r="B65" s="40"/>
      <c r="C65" s="41"/>
      <c r="D65" s="86"/>
      <c r="E65" s="34"/>
      <c r="F65" s="87"/>
      <c r="G65" s="87"/>
      <c r="H65" s="87"/>
      <c r="I65" s="56"/>
      <c r="J65" s="86"/>
      <c r="K65" s="423"/>
    </row>
    <row r="66" spans="1:11" ht="13.5">
      <c r="A66" s="51">
        <f>(ROW(A66)-9)/3</f>
        <v>19</v>
      </c>
      <c r="B66" s="52" t="s">
        <v>138</v>
      </c>
      <c r="C66" s="53">
        <v>41</v>
      </c>
      <c r="D66" s="74" t="str">
        <f>VLOOKUP($C66,DosF2C!$B$7:$E$100,2)</f>
        <v>GUSTAFSSON J. / BJÖHOLM S.</v>
      </c>
      <c r="E66" s="75">
        <f>VLOOKUP($C66,DosF2C!$B$7:$E$100,3)</f>
        <v>0</v>
      </c>
      <c r="F66" s="76" t="str">
        <f>VLOOKUP($C66,DosF2C!$B$7:$E$100,4)</f>
        <v>SWE</v>
      </c>
      <c r="G66" s="87"/>
      <c r="H66" s="87"/>
      <c r="I66" s="56"/>
      <c r="J66" s="57" t="s">
        <v>158</v>
      </c>
      <c r="K66" s="423"/>
    </row>
    <row r="67" spans="1:11" ht="12.75">
      <c r="A67" s="58">
        <f>A63+2*$A$73</f>
        <v>0.7583333333333331</v>
      </c>
      <c r="B67" s="59" t="s">
        <v>139</v>
      </c>
      <c r="C67" s="60">
        <v>32</v>
      </c>
      <c r="D67" s="74" t="str">
        <f>VLOOKUP($C67,DosF2C!$B$7:$E$100,2)</f>
        <v>CHABACHOV J. / MOSKALEEV S.</v>
      </c>
      <c r="E67" s="75">
        <f>VLOOKUP($C67,DosF2C!$B$7:$E$100,3)</f>
        <v>0</v>
      </c>
      <c r="F67" s="76" t="str">
        <f>VLOOKUP($C67,DosF2C!$B$7:$E$100,4)</f>
        <v>RUS</v>
      </c>
      <c r="G67" s="87" t="s">
        <v>157</v>
      </c>
      <c r="H67" s="87" t="s">
        <v>157</v>
      </c>
      <c r="I67" s="56"/>
      <c r="J67" s="63"/>
      <c r="K67" s="423" t="s">
        <v>303</v>
      </c>
    </row>
    <row r="68" spans="1:11" ht="12.75">
      <c r="A68" s="64"/>
      <c r="B68" s="65" t="s">
        <v>140</v>
      </c>
      <c r="C68" s="66">
        <v>4</v>
      </c>
      <c r="D68" s="74" t="str">
        <f>VLOOKUP($C68,DosF2C!$B$7:$E$100,2)</f>
        <v>WILSON G. / STEIN P.</v>
      </c>
      <c r="E68" s="75">
        <f>VLOOKUP($C68,DosF2C!$B$7:$E$100,3)</f>
        <v>0</v>
      </c>
      <c r="F68" s="76" t="str">
        <f>VLOOKUP($C68,DosF2C!$B$7:$E$100,4)</f>
        <v>AUS</v>
      </c>
      <c r="G68" s="87" t="s">
        <v>157</v>
      </c>
      <c r="H68" s="87"/>
      <c r="I68" s="56"/>
      <c r="J68" s="67"/>
      <c r="K68" s="423" t="s">
        <v>304</v>
      </c>
    </row>
    <row r="69" spans="1:11" ht="13.5">
      <c r="A69" s="51">
        <f>(ROW(A69)-9)/3</f>
        <v>20</v>
      </c>
      <c r="B69" s="52" t="s">
        <v>138</v>
      </c>
      <c r="C69" s="53">
        <v>2</v>
      </c>
      <c r="D69" s="74" t="str">
        <f>VLOOKUP($C69,DosF2C!$B$7:$E$100,2)</f>
        <v>CAMERON P. / FITZGERALD R.</v>
      </c>
      <c r="E69" s="75">
        <f>VLOOKUP($C69,DosF2C!$B$7:$E$100,3)</f>
        <v>0</v>
      </c>
      <c r="F69" s="76" t="str">
        <f>VLOOKUP($C69,DosF2C!$B$7:$E$100,4)</f>
        <v>AUS</v>
      </c>
      <c r="G69" s="87"/>
      <c r="H69" s="87"/>
      <c r="I69" s="56"/>
      <c r="J69" s="57"/>
      <c r="K69" s="423" t="s">
        <v>305</v>
      </c>
    </row>
    <row r="70" spans="1:11" ht="12.75">
      <c r="A70" s="58">
        <f>A67+$A$73</f>
        <v>0.7666666666666664</v>
      </c>
      <c r="B70" s="59" t="s">
        <v>139</v>
      </c>
      <c r="C70" s="60">
        <v>41</v>
      </c>
      <c r="D70" s="74" t="str">
        <f>VLOOKUP($C70,DosF2C!$B$7:$E$100,2)</f>
        <v>GUSTAFSSON J. / BJÖHOLM S.</v>
      </c>
      <c r="E70" s="75">
        <f>VLOOKUP($C70,DosF2C!$B$7:$E$100,3)</f>
        <v>0</v>
      </c>
      <c r="F70" s="76" t="str">
        <f>VLOOKUP($C70,DosF2C!$B$7:$E$100,4)</f>
        <v>SWE</v>
      </c>
      <c r="G70" s="87" t="s">
        <v>162</v>
      </c>
      <c r="H70" s="87"/>
      <c r="I70" s="56"/>
      <c r="J70" s="63"/>
      <c r="K70" s="423" t="s">
        <v>302</v>
      </c>
    </row>
    <row r="71" spans="1:11" ht="12.75">
      <c r="A71" s="64"/>
      <c r="B71" s="65" t="s">
        <v>140</v>
      </c>
      <c r="C71" s="66">
        <v>15</v>
      </c>
      <c r="D71" s="74" t="str">
        <f>VLOOKUP($C71,DosF2C!$B$7:$E$100,2)</f>
        <v>SURUGUE P. / SURUGUE G.</v>
      </c>
      <c r="E71" s="75">
        <f>VLOOKUP($C71,DosF2C!$B$7:$E$100,3)</f>
        <v>0</v>
      </c>
      <c r="F71" s="76" t="str">
        <f>VLOOKUP($C71,DosF2C!$B$7:$E$100,4)</f>
        <v>FRA</v>
      </c>
      <c r="G71" s="87"/>
      <c r="H71" s="87"/>
      <c r="I71" s="56"/>
      <c r="J71" s="67" t="s">
        <v>278</v>
      </c>
      <c r="K71" s="423" t="s">
        <v>225</v>
      </c>
    </row>
    <row r="72" ht="11.25">
      <c r="K72" s="423"/>
    </row>
    <row r="73" spans="1:11" ht="12.75">
      <c r="A73" s="69">
        <v>0.008333333333333333</v>
      </c>
      <c r="C73" s="70" t="s">
        <v>141</v>
      </c>
      <c r="K73" s="423"/>
    </row>
    <row r="74" ht="11.25">
      <c r="K74" s="423"/>
    </row>
    <row r="75" ht="11.25">
      <c r="K75" s="423"/>
    </row>
    <row r="76" ht="11.25">
      <c r="K76" s="423"/>
    </row>
    <row r="77" ht="11.25">
      <c r="K77" s="423"/>
    </row>
    <row r="78" ht="11.25">
      <c r="K78" s="423"/>
    </row>
    <row r="79" ht="11.25">
      <c r="K79" s="423"/>
    </row>
    <row r="80" ht="11.25">
      <c r="K80" s="423"/>
    </row>
    <row r="81" ht="11.25">
      <c r="K81" s="423"/>
    </row>
    <row r="82" ht="11.25">
      <c r="K82" s="423"/>
    </row>
    <row r="83" ht="11.25">
      <c r="K83" s="423"/>
    </row>
    <row r="84" ht="11.25">
      <c r="K84" s="423"/>
    </row>
  </sheetData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workbookViewId="0" topLeftCell="A1">
      <selection activeCell="K12" sqref="K12"/>
    </sheetView>
  </sheetViews>
  <sheetFormatPr defaultColWidth="9.140625" defaultRowHeight="12.75"/>
  <cols>
    <col min="1" max="1" width="8.8515625" style="2" customWidth="1"/>
    <col min="2" max="2" width="6.140625" style="40" customWidth="1"/>
    <col min="3" max="3" width="5.7109375" style="41" customWidth="1"/>
    <col min="4" max="4" width="34.00390625" style="42" customWidth="1"/>
    <col min="5" max="5" width="7.57421875" style="43" customWidth="1"/>
    <col min="6" max="6" width="6.28125" style="68" customWidth="1"/>
    <col min="7" max="7" width="3.7109375" style="68" customWidth="1"/>
    <col min="8" max="8" width="3.57421875" style="68" customWidth="1"/>
    <col min="9" max="9" width="3.57421875" style="44" customWidth="1"/>
    <col min="10" max="10" width="23.28125" style="0" customWidth="1"/>
    <col min="11" max="16384" width="11.421875" style="0" customWidth="1"/>
  </cols>
  <sheetData>
    <row r="1" spans="2:9" ht="3" customHeight="1">
      <c r="B1"/>
      <c r="C1" s="28"/>
      <c r="D1" s="33"/>
      <c r="E1" s="34"/>
      <c r="F1" s="35"/>
      <c r="G1" s="35"/>
      <c r="H1" s="35"/>
      <c r="I1" s="36"/>
    </row>
    <row r="2" spans="2:9" ht="13.5">
      <c r="B2"/>
      <c r="C2" s="28"/>
      <c r="D2" s="37" t="s">
        <v>82</v>
      </c>
      <c r="E2" s="38"/>
      <c r="F2" s="2"/>
      <c r="G2" s="2"/>
      <c r="H2" s="2"/>
      <c r="I2"/>
    </row>
    <row r="3" spans="2:9" ht="13.5">
      <c r="B3"/>
      <c r="C3" s="28"/>
      <c r="D3" s="3"/>
      <c r="E3" s="38"/>
      <c r="F3" s="2"/>
      <c r="G3" s="2"/>
      <c r="H3" s="2"/>
      <c r="I3"/>
    </row>
    <row r="4" spans="2:9" ht="13.5">
      <c r="B4"/>
      <c r="C4" s="28"/>
      <c r="D4" s="3"/>
      <c r="E4" s="38"/>
      <c r="F4" s="2"/>
      <c r="G4" s="2"/>
      <c r="H4" s="2"/>
      <c r="I4"/>
    </row>
    <row r="5" spans="1:9" ht="13.5">
      <c r="A5"/>
      <c r="B5"/>
      <c r="C5"/>
      <c r="D5" s="325" t="s">
        <v>151</v>
      </c>
      <c r="E5" s="223"/>
      <c r="F5" s="3"/>
      <c r="G5" s="3"/>
      <c r="H5" s="3"/>
      <c r="I5"/>
    </row>
    <row r="6" spans="2:9" ht="13.5">
      <c r="B6" s="45"/>
      <c r="C6" s="46"/>
      <c r="D6" s="47" t="s">
        <v>152</v>
      </c>
      <c r="E6" s="38"/>
      <c r="F6" s="48"/>
      <c r="G6" s="48"/>
      <c r="H6" s="48"/>
      <c r="I6" s="48"/>
    </row>
    <row r="7" spans="1:10" ht="13.5">
      <c r="A7" s="49"/>
      <c r="B7" s="45"/>
      <c r="C7" s="46"/>
      <c r="D7" s="50"/>
      <c r="E7" s="38"/>
      <c r="F7" s="48"/>
      <c r="G7" s="48"/>
      <c r="H7" s="48"/>
      <c r="I7" s="48"/>
      <c r="J7" s="1"/>
    </row>
    <row r="8" spans="1:11" ht="13.5">
      <c r="A8" s="51">
        <f>(ROW(A8)-6)/3</f>
        <v>0.6666666666666666</v>
      </c>
      <c r="B8" s="52" t="s">
        <v>138</v>
      </c>
      <c r="C8" s="53">
        <v>15</v>
      </c>
      <c r="D8" s="71" t="str">
        <f>VLOOKUP($C8,DosF2C!$B$7:$E$100,2)</f>
        <v>SURUGUE P. / SURUGUE G.</v>
      </c>
      <c r="E8" s="72">
        <f>VLOOKUP($C8,DosF2C!$B$7:$E$100,3)</f>
        <v>0</v>
      </c>
      <c r="F8" s="73" t="str">
        <f>VLOOKUP($C8,DosF2C!$B$7:$E$100,4)</f>
        <v>FRA</v>
      </c>
      <c r="G8" s="87" t="s">
        <v>157</v>
      </c>
      <c r="H8" s="87" t="s">
        <v>157</v>
      </c>
      <c r="I8" s="56"/>
      <c r="J8" s="57"/>
      <c r="K8" s="423" t="s">
        <v>210</v>
      </c>
    </row>
    <row r="9" spans="1:11" ht="12.75">
      <c r="A9" s="58">
        <v>0.4270833333333333</v>
      </c>
      <c r="B9" s="59" t="s">
        <v>139</v>
      </c>
      <c r="C9" s="60">
        <v>34</v>
      </c>
      <c r="D9" s="74" t="str">
        <f>VLOOKUP($C9,DosF2C!$B$7:$E$100,2)</f>
        <v>TITOV V. / JOUGOV V.</v>
      </c>
      <c r="E9" s="75">
        <f>VLOOKUP($C9,DosF2C!$B$7:$E$100,3)</f>
        <v>0</v>
      </c>
      <c r="F9" s="76" t="str">
        <f>VLOOKUP($C9,DosF2C!$B$7:$E$100,4)</f>
        <v>RUS</v>
      </c>
      <c r="G9" s="87"/>
      <c r="H9" s="87"/>
      <c r="I9" s="56"/>
      <c r="J9" s="63"/>
      <c r="K9" s="423" t="s">
        <v>163</v>
      </c>
    </row>
    <row r="10" spans="1:11" ht="12.75">
      <c r="A10" s="64"/>
      <c r="B10" s="65" t="s">
        <v>140</v>
      </c>
      <c r="C10" s="66">
        <v>24</v>
      </c>
      <c r="D10" s="77" t="str">
        <f>VLOOKUP($C10,DosF2C!$B$7:$E$100,2)</f>
        <v>PENNISI R. / ROSSI A.</v>
      </c>
      <c r="E10" s="79">
        <f>VLOOKUP($C10,DosF2C!$B$7:$E$100,3)</f>
        <v>0</v>
      </c>
      <c r="F10" s="78" t="str">
        <f>VLOOKUP($C10,DosF2C!$B$7:$E$100,4)</f>
        <v>ITA</v>
      </c>
      <c r="G10" s="87" t="s">
        <v>162</v>
      </c>
      <c r="H10" s="87" t="s">
        <v>157</v>
      </c>
      <c r="I10" s="56"/>
      <c r="J10" s="67"/>
      <c r="K10" s="423" t="s">
        <v>211</v>
      </c>
    </row>
    <row r="11" spans="1:11" ht="13.5">
      <c r="A11" s="51">
        <f>(ROW(A11)-6)/3</f>
        <v>1.6666666666666667</v>
      </c>
      <c r="B11" s="52" t="s">
        <v>138</v>
      </c>
      <c r="C11" s="53">
        <v>1</v>
      </c>
      <c r="D11" s="71" t="str">
        <f>VLOOKUP($C11,DosF2C!$B$7:$E$100,2)</f>
        <v>ANDREEV S. / SOBKO S.</v>
      </c>
      <c r="E11" s="72" t="str">
        <f>VLOOKUP($C11,DosF2C!$B$7:$E$100,3)</f>
        <v>W/CH</v>
      </c>
      <c r="F11" s="73" t="str">
        <f>VLOOKUP($C11,DosF2C!$B$7:$E$100,4)</f>
        <v>RUS</v>
      </c>
      <c r="G11" s="87"/>
      <c r="H11" s="87"/>
      <c r="I11" s="56"/>
      <c r="J11" s="63" t="s">
        <v>177</v>
      </c>
      <c r="K11" s="423" t="s">
        <v>159</v>
      </c>
    </row>
    <row r="12" spans="1:11" ht="12.75">
      <c r="A12" s="58">
        <f>A9+$A$47</f>
        <v>0.4354166666666667</v>
      </c>
      <c r="B12" s="59" t="s">
        <v>139</v>
      </c>
      <c r="C12" s="60">
        <v>25</v>
      </c>
      <c r="D12" s="74" t="str">
        <f>VLOOKUP($C12,DosF2C!$B$7:$E$100,2)</f>
        <v>MAGLI M./  PIRAZZINI E.</v>
      </c>
      <c r="E12" s="75">
        <f>VLOOKUP($C12,DosF2C!$B$7:$E$100,3)</f>
        <v>0</v>
      </c>
      <c r="F12" s="76" t="str">
        <f>VLOOKUP($C12,DosF2C!$B$7:$E$100,4)</f>
        <v>ITA</v>
      </c>
      <c r="G12" s="87" t="s">
        <v>157</v>
      </c>
      <c r="H12" s="87"/>
      <c r="I12" s="56"/>
      <c r="J12" s="63" t="s">
        <v>158</v>
      </c>
      <c r="K12" s="423"/>
    </row>
    <row r="13" spans="1:11" ht="12.75">
      <c r="A13" s="64"/>
      <c r="B13" s="65" t="s">
        <v>140</v>
      </c>
      <c r="C13" s="66">
        <v>19</v>
      </c>
      <c r="D13" s="77" t="str">
        <f>VLOOKUP($C13,DosF2C!$B$7:$E$100,2)</f>
        <v>ROSS M. / TURNER B.</v>
      </c>
      <c r="E13" s="79">
        <f>VLOOKUP($C13,DosF2C!$B$7:$E$100,3)</f>
        <v>0</v>
      </c>
      <c r="F13" s="78" t="str">
        <f>VLOOKUP($C13,DosF2C!$B$7:$E$100,4)</f>
        <v>GBR</v>
      </c>
      <c r="G13" s="87" t="s">
        <v>157</v>
      </c>
      <c r="H13" s="87" t="s">
        <v>157</v>
      </c>
      <c r="I13" s="56"/>
      <c r="J13" s="63" t="s">
        <v>158</v>
      </c>
      <c r="K13" s="423"/>
    </row>
    <row r="14" spans="1:11" ht="13.5">
      <c r="A14" s="51">
        <f>(ROW(A14)-6)/3</f>
        <v>2.6666666666666665</v>
      </c>
      <c r="B14" s="52" t="s">
        <v>138</v>
      </c>
      <c r="C14" s="53">
        <v>31</v>
      </c>
      <c r="D14" s="71" t="str">
        <f>VLOOKUP($C14,DosF2C!$B$7:$E$100,2)</f>
        <v>MORTINHO A. / GOULAO J.</v>
      </c>
      <c r="E14" s="72">
        <f>VLOOKUP($C14,DosF2C!$B$7:$E$100,3)</f>
        <v>0</v>
      </c>
      <c r="F14" s="73" t="str">
        <f>VLOOKUP($C14,DosF2C!$B$7:$E$100,4)</f>
        <v>POR</v>
      </c>
      <c r="G14" s="87" t="s">
        <v>162</v>
      </c>
      <c r="H14" s="87"/>
      <c r="I14" s="56"/>
      <c r="J14" s="57"/>
      <c r="K14" s="423" t="s">
        <v>213</v>
      </c>
    </row>
    <row r="15" spans="1:11" ht="12.75">
      <c r="A15" s="58">
        <f>A12+$A$47</f>
        <v>0.44375000000000003</v>
      </c>
      <c r="B15" s="59" t="s">
        <v>139</v>
      </c>
      <c r="C15" s="60">
        <v>26</v>
      </c>
      <c r="D15" s="74" t="str">
        <f>VLOOKUP($C15,DosF2C!$B$7:$E$100,2)</f>
        <v>MARTINI G. / MENOZZI M.</v>
      </c>
      <c r="E15" s="75">
        <f>VLOOKUP($C15,DosF2C!$B$7:$E$100,3)</f>
        <v>0</v>
      </c>
      <c r="F15" s="76" t="str">
        <f>VLOOKUP($C15,DosF2C!$B$7:$E$100,4)</f>
        <v>ITA</v>
      </c>
      <c r="G15" s="87" t="s">
        <v>157</v>
      </c>
      <c r="H15" s="87" t="s">
        <v>157</v>
      </c>
      <c r="I15" s="56"/>
      <c r="J15" s="63"/>
      <c r="K15" s="423" t="s">
        <v>214</v>
      </c>
    </row>
    <row r="16" spans="1:11" ht="12.75">
      <c r="A16" s="64"/>
      <c r="B16" s="65" t="s">
        <v>140</v>
      </c>
      <c r="C16" s="66">
        <v>45</v>
      </c>
      <c r="D16" s="77" t="str">
        <f>VLOOKUP($C16,DosF2C!$B$7:$E$100,2)</f>
        <v>BONDARENKO Y. / LERNER S.</v>
      </c>
      <c r="E16" s="79">
        <f>VLOOKUP($C16,DosF2C!$B$7:$E$100,3)</f>
        <v>0</v>
      </c>
      <c r="F16" s="78" t="str">
        <f>VLOOKUP($C16,DosF2C!$B$7:$E$100,4)</f>
        <v>UKR</v>
      </c>
      <c r="G16" s="87" t="s">
        <v>157</v>
      </c>
      <c r="H16" s="87"/>
      <c r="I16" s="56"/>
      <c r="J16" s="67"/>
      <c r="K16" s="423" t="s">
        <v>215</v>
      </c>
    </row>
    <row r="17" spans="1:11" ht="13.5">
      <c r="A17" s="51">
        <f>(ROW(A17)-6)/3</f>
        <v>3.6666666666666665</v>
      </c>
      <c r="B17" s="52" t="s">
        <v>138</v>
      </c>
      <c r="C17" s="53">
        <v>13</v>
      </c>
      <c r="D17" s="71" t="str">
        <f>VLOOKUP($C17,DosF2C!$B$7:$E$100,2)</f>
        <v>MARET J. / PERRET J.P.</v>
      </c>
      <c r="E17" s="72">
        <f>VLOOKUP($C17,DosF2C!$B$7:$E$100,3)</f>
        <v>0</v>
      </c>
      <c r="F17" s="73" t="str">
        <f>VLOOKUP($C17,DosF2C!$B$7:$E$100,4)</f>
        <v>FRA</v>
      </c>
      <c r="G17" s="87" t="s">
        <v>186</v>
      </c>
      <c r="H17" s="87"/>
      <c r="I17" s="56"/>
      <c r="J17" s="57"/>
      <c r="K17" s="423" t="s">
        <v>218</v>
      </c>
    </row>
    <row r="18" spans="1:11" ht="12.75">
      <c r="A18" s="58">
        <f>A15+$A$47</f>
        <v>0.4520833333333334</v>
      </c>
      <c r="B18" s="59" t="s">
        <v>139</v>
      </c>
      <c r="C18" s="60">
        <v>32</v>
      </c>
      <c r="D18" s="74" t="str">
        <f>VLOOKUP($C18,DosF2C!$B$7:$E$100,2)</f>
        <v>CHABACHOV J. / MOSKALEEV S.</v>
      </c>
      <c r="E18" s="75">
        <f>VLOOKUP($C18,DosF2C!$B$7:$E$100,3)</f>
        <v>0</v>
      </c>
      <c r="F18" s="76" t="str">
        <f>VLOOKUP($C18,DosF2C!$B$7:$E$100,4)</f>
        <v>RUS</v>
      </c>
      <c r="G18" s="87" t="s">
        <v>160</v>
      </c>
      <c r="H18" s="87" t="s">
        <v>157</v>
      </c>
      <c r="I18" s="56"/>
      <c r="J18" s="63"/>
      <c r="K18" s="423" t="s">
        <v>217</v>
      </c>
    </row>
    <row r="19" spans="1:11" ht="12.75">
      <c r="A19" s="64"/>
      <c r="B19" s="65" t="s">
        <v>140</v>
      </c>
      <c r="C19" s="66">
        <v>5</v>
      </c>
      <c r="D19" s="77" t="str">
        <f>VLOOKUP($C19,DosF2C!$B$7:$E$100,2)</f>
        <v>FISCHER J. / STRANIAK H.</v>
      </c>
      <c r="E19" s="79">
        <f>VLOOKUP($C19,DosF2C!$B$7:$E$100,3)</f>
        <v>0</v>
      </c>
      <c r="F19" s="78" t="str">
        <f>VLOOKUP($C19,DosF2C!$B$7:$E$100,4)</f>
        <v>AUT</v>
      </c>
      <c r="G19" s="87" t="s">
        <v>157</v>
      </c>
      <c r="H19" s="87" t="s">
        <v>157</v>
      </c>
      <c r="I19" s="56"/>
      <c r="J19" s="67"/>
      <c r="K19" s="423" t="s">
        <v>216</v>
      </c>
    </row>
    <row r="20" spans="1:11" ht="13.5">
      <c r="A20" s="51">
        <f>(ROW(A20)-6)/3</f>
        <v>4.666666666666667</v>
      </c>
      <c r="B20" s="52" t="s">
        <v>138</v>
      </c>
      <c r="C20" s="53">
        <v>14</v>
      </c>
      <c r="D20" s="71" t="str">
        <f>VLOOKUP($C20,DosF2C!$B$7:$E$100,2)</f>
        <v>DELOR B. / CONSTANT P.</v>
      </c>
      <c r="E20" s="72">
        <f>VLOOKUP($C20,DosF2C!$B$7:$E$100,3)</f>
        <v>0</v>
      </c>
      <c r="F20" s="73" t="str">
        <f>VLOOKUP($C20,DosF2C!$B$7:$E$100,4)</f>
        <v>FRA</v>
      </c>
      <c r="G20" s="87" t="s">
        <v>157</v>
      </c>
      <c r="H20" s="87" t="s">
        <v>219</v>
      </c>
      <c r="I20" s="56"/>
      <c r="J20" s="57"/>
      <c r="K20" s="423" t="s">
        <v>220</v>
      </c>
    </row>
    <row r="21" spans="1:11" ht="12.75">
      <c r="A21" s="58">
        <f>A18+$A$47</f>
        <v>0.46041666666666675</v>
      </c>
      <c r="B21" s="59" t="s">
        <v>139</v>
      </c>
      <c r="C21" s="60">
        <v>47</v>
      </c>
      <c r="D21" s="74" t="str">
        <f>VLOOKUP($C21,DosF2C!$B$7:$E$100,2)</f>
        <v>ZHURAVLYOV V. / SOSNOVSKIY V.</v>
      </c>
      <c r="E21" s="75">
        <f>VLOOKUP($C21,DosF2C!$B$7:$E$100,3)</f>
        <v>0</v>
      </c>
      <c r="F21" s="76" t="str">
        <f>VLOOKUP($C21,DosF2C!$B$7:$E$100,4)</f>
        <v>UKR</v>
      </c>
      <c r="G21" s="87" t="s">
        <v>160</v>
      </c>
      <c r="H21" s="87" t="s">
        <v>162</v>
      </c>
      <c r="I21" s="56"/>
      <c r="J21" s="63" t="s">
        <v>177</v>
      </c>
      <c r="K21" s="423" t="s">
        <v>159</v>
      </c>
    </row>
    <row r="22" spans="1:11" ht="12.75">
      <c r="A22" s="64"/>
      <c r="B22" s="65" t="s">
        <v>140</v>
      </c>
      <c r="C22" s="66">
        <v>25</v>
      </c>
      <c r="D22" s="77" t="str">
        <f>VLOOKUP($C22,DosF2C!$B$7:$E$100,2)</f>
        <v>MAGLI M./  PIRAZZINI E.</v>
      </c>
      <c r="E22" s="79">
        <f>VLOOKUP($C22,DosF2C!$B$7:$E$100,3)</f>
        <v>0</v>
      </c>
      <c r="F22" s="78" t="str">
        <f>VLOOKUP($C22,DosF2C!$B$7:$E$100,4)</f>
        <v>ITA</v>
      </c>
      <c r="G22" s="87" t="s">
        <v>157</v>
      </c>
      <c r="H22" s="87" t="s">
        <v>157</v>
      </c>
      <c r="I22" s="56"/>
      <c r="J22" s="63" t="s">
        <v>158</v>
      </c>
      <c r="K22" s="423"/>
    </row>
    <row r="23" spans="1:11" ht="13.5">
      <c r="A23" s="51">
        <f>(ROW(A23)-6)/3</f>
        <v>5.666666666666667</v>
      </c>
      <c r="B23" s="52" t="s">
        <v>138</v>
      </c>
      <c r="C23" s="53">
        <v>25</v>
      </c>
      <c r="D23" s="71" t="str">
        <f>VLOOKUP($C23,DosF2C!$B$7:$E$100,2)</f>
        <v>MAGLI M./  PIRAZZINI E.</v>
      </c>
      <c r="E23" s="72">
        <f>VLOOKUP($C23,DosF2C!$B$7:$E$100,3)</f>
        <v>0</v>
      </c>
      <c r="F23" s="73" t="str">
        <f>VLOOKUP($C23,DosF2C!$B$7:$E$100,4)</f>
        <v>ITA</v>
      </c>
      <c r="G23" s="87" t="s">
        <v>157</v>
      </c>
      <c r="H23" s="87" t="s">
        <v>157</v>
      </c>
      <c r="I23" s="56"/>
      <c r="J23" s="57"/>
      <c r="K23" s="423" t="s">
        <v>222</v>
      </c>
    </row>
    <row r="24" spans="1:11" ht="12.75">
      <c r="A24" s="58">
        <f>A21+$A$47</f>
        <v>0.4687500000000001</v>
      </c>
      <c r="B24" s="59" t="s">
        <v>139</v>
      </c>
      <c r="C24" s="60">
        <v>49</v>
      </c>
      <c r="D24" s="74" t="str">
        <f>VLOOKUP($C24,DosF2C!$B$7:$E$100,2)</f>
        <v>ASCHER A. / ASCHER L.</v>
      </c>
      <c r="E24" s="75">
        <f>VLOOKUP($C24,DosF2C!$B$7:$E$100,3)</f>
        <v>0</v>
      </c>
      <c r="F24" s="76" t="str">
        <f>VLOOKUP($C24,DosF2C!$B$7:$E$100,4)</f>
        <v>USA</v>
      </c>
      <c r="G24" s="87" t="s">
        <v>157</v>
      </c>
      <c r="H24" s="87" t="s">
        <v>160</v>
      </c>
      <c r="I24" s="56"/>
      <c r="J24" s="63"/>
      <c r="K24" s="423" t="s">
        <v>221</v>
      </c>
    </row>
    <row r="25" spans="1:11" ht="12.75">
      <c r="A25" s="64"/>
      <c r="B25" s="65" t="s">
        <v>140</v>
      </c>
      <c r="C25" s="66">
        <v>46</v>
      </c>
      <c r="D25" s="77" t="str">
        <f>VLOOKUP($C25,DosF2C!$B$7:$E$100,2)</f>
        <v>BEZMERTNY Y. / FULITKA V.</v>
      </c>
      <c r="E25" s="79">
        <f>VLOOKUP($C25,DosF2C!$B$7:$E$100,3)</f>
        <v>0</v>
      </c>
      <c r="F25" s="78" t="str">
        <f>VLOOKUP($C25,DosF2C!$B$7:$E$100,4)</f>
        <v>UKR</v>
      </c>
      <c r="G25" s="87"/>
      <c r="H25" s="87"/>
      <c r="I25" s="56"/>
      <c r="J25" s="67"/>
      <c r="K25" s="423">
        <v>69</v>
      </c>
    </row>
    <row r="26" spans="1:11" ht="12.75">
      <c r="A26" s="49"/>
      <c r="D26" s="86"/>
      <c r="E26" s="34"/>
      <c r="F26" s="87"/>
      <c r="G26" s="87"/>
      <c r="H26" s="87"/>
      <c r="I26" s="56"/>
      <c r="J26" s="86"/>
      <c r="K26" s="423"/>
    </row>
    <row r="27" spans="1:11" ht="12.75">
      <c r="A27" s="49"/>
      <c r="D27" s="86"/>
      <c r="E27" s="34"/>
      <c r="F27" s="87"/>
      <c r="G27" s="87"/>
      <c r="H27" s="87"/>
      <c r="I27" s="56"/>
      <c r="J27" s="86"/>
      <c r="K27" s="423"/>
    </row>
    <row r="28" ht="12.75" customHeight="1">
      <c r="K28" s="423"/>
    </row>
    <row r="29" spans="2:11" ht="13.5">
      <c r="B29" s="45"/>
      <c r="C29" s="46"/>
      <c r="D29" s="47" t="s">
        <v>153</v>
      </c>
      <c r="E29" s="38"/>
      <c r="F29" s="48"/>
      <c r="G29" s="48"/>
      <c r="H29" s="48"/>
      <c r="I29" s="48"/>
      <c r="K29" s="423"/>
    </row>
    <row r="30" spans="1:11" ht="13.5">
      <c r="A30" s="49"/>
      <c r="B30" s="45"/>
      <c r="C30" s="46"/>
      <c r="D30" s="50"/>
      <c r="E30" s="38"/>
      <c r="F30" s="48"/>
      <c r="G30" s="48"/>
      <c r="H30" s="48"/>
      <c r="I30" s="48"/>
      <c r="J30" s="1"/>
      <c r="K30" s="423"/>
    </row>
    <row r="31" spans="1:11" ht="13.5">
      <c r="A31" s="51">
        <f>(ROW(A31)-29)/3</f>
        <v>0.6666666666666666</v>
      </c>
      <c r="B31" s="52" t="s">
        <v>138</v>
      </c>
      <c r="C31" s="53">
        <v>31</v>
      </c>
      <c r="D31" s="71" t="str">
        <f>VLOOKUP($C31,DosF2C!$B$7:$E$100,2)</f>
        <v>MORTINHO A. / GOULAO J.</v>
      </c>
      <c r="E31" s="72">
        <f>VLOOKUP($C31,DosF2C!$B$7:$E$100,3)</f>
        <v>0</v>
      </c>
      <c r="F31" s="73" t="str">
        <f>VLOOKUP($C31,DosF2C!$B$7:$E$100,4)</f>
        <v>POR</v>
      </c>
      <c r="G31" s="87"/>
      <c r="H31" s="87"/>
      <c r="I31" s="56"/>
      <c r="J31" s="57" t="s">
        <v>158</v>
      </c>
      <c r="K31" s="423"/>
    </row>
    <row r="32" spans="1:11" ht="12.75">
      <c r="A32" s="58">
        <v>0.5729166666666666</v>
      </c>
      <c r="B32" s="59" t="s">
        <v>139</v>
      </c>
      <c r="C32" s="60">
        <v>1</v>
      </c>
      <c r="D32" s="74" t="str">
        <f>VLOOKUP($C32,DosF2C!$B$7:$E$100,2)</f>
        <v>ANDREEV S. / SOBKO S.</v>
      </c>
      <c r="E32" s="75" t="str">
        <f>VLOOKUP($C32,DosF2C!$B$7:$E$100,3)</f>
        <v>W/CH</v>
      </c>
      <c r="F32" s="76" t="str">
        <f>VLOOKUP($C32,DosF2C!$B$7:$E$100,4)</f>
        <v>RUS</v>
      </c>
      <c r="G32" s="87"/>
      <c r="H32" s="87"/>
      <c r="I32" s="56"/>
      <c r="J32" s="63" t="s">
        <v>212</v>
      </c>
      <c r="K32" s="423" t="s">
        <v>159</v>
      </c>
    </row>
    <row r="33" spans="1:11" ht="12.75">
      <c r="A33" s="64"/>
      <c r="B33" s="65" t="s">
        <v>140</v>
      </c>
      <c r="C33" s="66">
        <v>15</v>
      </c>
      <c r="D33" s="77" t="str">
        <f>VLOOKUP($C33,DosF2C!$B$7:$E$100,2)</f>
        <v>SURUGUE P. / SURUGUE G.</v>
      </c>
      <c r="E33" s="79">
        <f>VLOOKUP($C33,DosF2C!$B$7:$E$100,3)</f>
        <v>0</v>
      </c>
      <c r="F33" s="78" t="str">
        <f>VLOOKUP($C33,DosF2C!$B$7:$E$100,4)</f>
        <v>FRA</v>
      </c>
      <c r="G33" s="87"/>
      <c r="H33" s="87"/>
      <c r="I33" s="56"/>
      <c r="J33" s="63" t="s">
        <v>158</v>
      </c>
      <c r="K33" s="423"/>
    </row>
    <row r="34" spans="1:11" ht="13.5">
      <c r="A34" s="51">
        <f>(ROW(A34)-29)/3</f>
        <v>1.6666666666666667</v>
      </c>
      <c r="B34" s="52" t="s">
        <v>138</v>
      </c>
      <c r="C34" s="53">
        <v>13</v>
      </c>
      <c r="D34" s="71" t="str">
        <f>VLOOKUP($C34,DosF2C!$B$7:$E$100,2)</f>
        <v>MARET J. / PERRET J.P.</v>
      </c>
      <c r="E34" s="72">
        <f>VLOOKUP($C34,DosF2C!$B$7:$E$100,3)</f>
        <v>0</v>
      </c>
      <c r="F34" s="73" t="str">
        <f>VLOOKUP($C34,DosF2C!$B$7:$E$100,4)</f>
        <v>FRA</v>
      </c>
      <c r="G34" s="87"/>
      <c r="H34" s="87"/>
      <c r="I34" s="56"/>
      <c r="J34" s="57" t="s">
        <v>223</v>
      </c>
      <c r="K34" s="423" t="s">
        <v>225</v>
      </c>
    </row>
    <row r="35" spans="1:11" ht="12.75">
      <c r="A35" s="58">
        <f>A32+$A$47</f>
        <v>0.5812499999999999</v>
      </c>
      <c r="B35" s="59" t="s">
        <v>139</v>
      </c>
      <c r="C35" s="60">
        <v>25</v>
      </c>
      <c r="D35" s="74" t="str">
        <f>VLOOKUP($C35,DosF2C!$B$7:$E$100,2)</f>
        <v>MAGLI M./  PIRAZZINI E.</v>
      </c>
      <c r="E35" s="75">
        <f>VLOOKUP($C35,DosF2C!$B$7:$E$100,3)</f>
        <v>0</v>
      </c>
      <c r="F35" s="76" t="str">
        <f>VLOOKUP($C35,DosF2C!$B$7:$E$100,4)</f>
        <v>ITA</v>
      </c>
      <c r="G35" s="87"/>
      <c r="H35" s="87"/>
      <c r="I35" s="56"/>
      <c r="J35" s="63" t="s">
        <v>224</v>
      </c>
      <c r="K35" s="423"/>
    </row>
    <row r="36" spans="1:11" ht="12.75">
      <c r="A36" s="64"/>
      <c r="B36" s="65" t="s">
        <v>140</v>
      </c>
      <c r="C36" s="66">
        <v>45</v>
      </c>
      <c r="D36" s="77" t="str">
        <f>VLOOKUP($C36,DosF2C!$B$7:$E$100,2)</f>
        <v>BONDARENKO Y. / LERNER S.</v>
      </c>
      <c r="E36" s="79">
        <f>VLOOKUP($C36,DosF2C!$B$7:$E$100,3)</f>
        <v>0</v>
      </c>
      <c r="F36" s="78" t="str">
        <f>VLOOKUP($C36,DosF2C!$B$7:$E$100,4)</f>
        <v>UKR</v>
      </c>
      <c r="G36" s="87"/>
      <c r="H36" s="87"/>
      <c r="I36" s="56"/>
      <c r="J36" s="67" t="s">
        <v>224</v>
      </c>
      <c r="K36" s="423"/>
    </row>
    <row r="37" spans="1:11" ht="13.5">
      <c r="A37" s="51">
        <f>(ROW(A37)-29)/3</f>
        <v>2.6666666666666665</v>
      </c>
      <c r="B37" s="52" t="s">
        <v>138</v>
      </c>
      <c r="C37" s="53">
        <v>26</v>
      </c>
      <c r="D37" s="71" t="str">
        <f>VLOOKUP($C37,DosF2C!$B$7:$E$100,2)</f>
        <v>MARTINI G. / MENOZZI M.</v>
      </c>
      <c r="E37" s="72">
        <f>VLOOKUP($C37,DosF2C!$B$7:$E$100,3)</f>
        <v>0</v>
      </c>
      <c r="F37" s="73" t="str">
        <f>VLOOKUP($C37,DosF2C!$B$7:$E$100,4)</f>
        <v>ITA</v>
      </c>
      <c r="G37" s="87" t="s">
        <v>186</v>
      </c>
      <c r="H37" s="87" t="s">
        <v>157</v>
      </c>
      <c r="I37" s="56"/>
      <c r="J37" s="57"/>
      <c r="K37" s="423" t="s">
        <v>226</v>
      </c>
    </row>
    <row r="38" spans="1:11" ht="12.75">
      <c r="A38" s="58">
        <f>A35+$A$47</f>
        <v>0.5895833333333332</v>
      </c>
      <c r="B38" s="59" t="s">
        <v>139</v>
      </c>
      <c r="C38" s="60">
        <v>32</v>
      </c>
      <c r="D38" s="74" t="str">
        <f>VLOOKUP($C38,DosF2C!$B$7:$E$100,2)</f>
        <v>CHABACHOV J. / MOSKALEEV S.</v>
      </c>
      <c r="E38" s="75">
        <f>VLOOKUP($C38,DosF2C!$B$7:$E$100,3)</f>
        <v>0</v>
      </c>
      <c r="F38" s="76" t="str">
        <f>VLOOKUP($C38,DosF2C!$B$7:$E$100,4)</f>
        <v>RUS</v>
      </c>
      <c r="G38" s="87" t="s">
        <v>157</v>
      </c>
      <c r="H38" s="87"/>
      <c r="I38" s="56"/>
      <c r="J38" s="63"/>
      <c r="K38" s="423" t="s">
        <v>227</v>
      </c>
    </row>
    <row r="39" spans="1:11" ht="12.75">
      <c r="A39" s="64"/>
      <c r="B39" s="65" t="s">
        <v>140</v>
      </c>
      <c r="C39" s="66">
        <v>19</v>
      </c>
      <c r="D39" s="77" t="str">
        <f>VLOOKUP($C39,DosF2C!$B$7:$E$100,2)</f>
        <v>ROSS M. / TURNER B.</v>
      </c>
      <c r="E39" s="79">
        <f>VLOOKUP($C39,DosF2C!$B$7:$E$100,3)</f>
        <v>0</v>
      </c>
      <c r="F39" s="78" t="str">
        <f>VLOOKUP($C39,DosF2C!$B$7:$E$100,4)</f>
        <v>GBR</v>
      </c>
      <c r="G39" s="87" t="s">
        <v>157</v>
      </c>
      <c r="H39" s="87" t="s">
        <v>157</v>
      </c>
      <c r="I39" s="56"/>
      <c r="J39" s="67"/>
      <c r="K39" s="423" t="s">
        <v>228</v>
      </c>
    </row>
    <row r="40" spans="1:11" ht="13.5">
      <c r="A40" s="51">
        <f>(ROW(A40)-29)/3</f>
        <v>3.6666666666666665</v>
      </c>
      <c r="B40" s="52" t="s">
        <v>138</v>
      </c>
      <c r="C40" s="53">
        <v>5</v>
      </c>
      <c r="D40" s="71" t="str">
        <f>VLOOKUP($C40,DosF2C!$B$7:$E$100,2)</f>
        <v>FISCHER J. / STRANIAK H.</v>
      </c>
      <c r="E40" s="72">
        <f>VLOOKUP($C40,DosF2C!$B$7:$E$100,3)</f>
        <v>0</v>
      </c>
      <c r="F40" s="73" t="str">
        <f>VLOOKUP($C40,DosF2C!$B$7:$E$100,4)</f>
        <v>AUT</v>
      </c>
      <c r="G40" s="87" t="s">
        <v>202</v>
      </c>
      <c r="H40" s="87" t="s">
        <v>157</v>
      </c>
      <c r="I40" s="56"/>
      <c r="J40" s="57"/>
      <c r="K40" s="423" t="s">
        <v>229</v>
      </c>
    </row>
    <row r="41" spans="1:11" ht="12.75">
      <c r="A41" s="58">
        <f>A38+$A$47</f>
        <v>0.5979166666666665</v>
      </c>
      <c r="B41" s="59" t="s">
        <v>139</v>
      </c>
      <c r="C41" s="60">
        <v>24</v>
      </c>
      <c r="D41" s="74" t="str">
        <f>VLOOKUP($C41,DosF2C!$B$7:$E$100,2)</f>
        <v>PENNISI R. / ROSSI A.</v>
      </c>
      <c r="E41" s="75">
        <f>VLOOKUP($C41,DosF2C!$B$7:$E$100,3)</f>
        <v>0</v>
      </c>
      <c r="F41" s="76" t="str">
        <f>VLOOKUP($C41,DosF2C!$B$7:$E$100,4)</f>
        <v>ITA</v>
      </c>
      <c r="G41" s="87"/>
      <c r="H41" s="87"/>
      <c r="I41" s="56"/>
      <c r="J41" s="63"/>
      <c r="K41" s="423" t="s">
        <v>230</v>
      </c>
    </row>
    <row r="42" spans="1:11" ht="12.75">
      <c r="A42" s="64"/>
      <c r="B42" s="65" t="s">
        <v>140</v>
      </c>
      <c r="C42" s="66">
        <v>34</v>
      </c>
      <c r="D42" s="77" t="str">
        <f>VLOOKUP($C42,DosF2C!$B$7:$E$100,2)</f>
        <v>TITOV V. / JOUGOV V.</v>
      </c>
      <c r="E42" s="79">
        <f>VLOOKUP($C42,DosF2C!$B$7:$E$100,3)</f>
        <v>0</v>
      </c>
      <c r="F42" s="78" t="str">
        <f>VLOOKUP($C42,DosF2C!$B$7:$E$100,4)</f>
        <v>RUS</v>
      </c>
      <c r="G42" s="87" t="s">
        <v>162</v>
      </c>
      <c r="H42" s="87" t="s">
        <v>157</v>
      </c>
      <c r="I42" s="56" t="s">
        <v>162</v>
      </c>
      <c r="J42" s="67"/>
      <c r="K42" s="423" t="s">
        <v>159</v>
      </c>
    </row>
    <row r="43" spans="1:11" ht="13.5">
      <c r="A43" s="51">
        <f>(ROW(A43)-29)/3</f>
        <v>4.666666666666667</v>
      </c>
      <c r="B43" s="52" t="s">
        <v>138</v>
      </c>
      <c r="C43" s="53">
        <v>25</v>
      </c>
      <c r="D43" s="71" t="str">
        <f>VLOOKUP($C43,DosF2C!$B$7:$E$100,2)</f>
        <v>MAGLI M./  PIRAZZINI E.</v>
      </c>
      <c r="E43" s="72">
        <f>VLOOKUP($C43,DosF2C!$B$7:$E$100,3)</f>
        <v>0</v>
      </c>
      <c r="F43" s="73" t="str">
        <f>VLOOKUP($C43,DosF2C!$B$7:$E$100,4)</f>
        <v>ITA</v>
      </c>
      <c r="G43" s="87" t="s">
        <v>162</v>
      </c>
      <c r="H43" s="87" t="s">
        <v>157</v>
      </c>
      <c r="I43" s="56"/>
      <c r="J43" s="57"/>
      <c r="K43" s="423" t="s">
        <v>233</v>
      </c>
    </row>
    <row r="44" spans="1:11" ht="12.75">
      <c r="A44" s="58">
        <f>A41+$A$47</f>
        <v>0.6062499999999998</v>
      </c>
      <c r="B44" s="59" t="s">
        <v>139</v>
      </c>
      <c r="C44" s="60">
        <v>15</v>
      </c>
      <c r="D44" s="74" t="str">
        <f>VLOOKUP($C44,DosF2C!$B$7:$E$100,2)</f>
        <v>SURUGUE P. / SURUGUE G.</v>
      </c>
      <c r="E44" s="75">
        <f>VLOOKUP($C44,DosF2C!$B$7:$E$100,3)</f>
        <v>0</v>
      </c>
      <c r="F44" s="76" t="str">
        <f>VLOOKUP($C44,DosF2C!$B$7:$E$100,4)</f>
        <v>FRA</v>
      </c>
      <c r="G44" s="87" t="s">
        <v>162</v>
      </c>
      <c r="H44" s="87"/>
      <c r="I44" s="56"/>
      <c r="J44" s="63"/>
      <c r="K44" s="423" t="s">
        <v>234</v>
      </c>
    </row>
    <row r="45" spans="1:11" ht="12.75">
      <c r="A45" s="64"/>
      <c r="B45" s="65" t="s">
        <v>140</v>
      </c>
      <c r="C45" s="66">
        <v>31</v>
      </c>
      <c r="D45" s="77" t="str">
        <f>VLOOKUP($C45,DosF2C!$B$7:$E$100,2)</f>
        <v>MORTINHO A. / GOULAO J.</v>
      </c>
      <c r="E45" s="79">
        <f>VLOOKUP($C45,DosF2C!$B$7:$E$100,3)</f>
        <v>0</v>
      </c>
      <c r="F45" s="78" t="str">
        <f>VLOOKUP($C45,DosF2C!$B$7:$E$100,4)</f>
        <v>POR</v>
      </c>
      <c r="G45" s="87" t="s">
        <v>157</v>
      </c>
      <c r="H45" s="87"/>
      <c r="I45" s="56"/>
      <c r="J45" s="67"/>
      <c r="K45" s="423" t="s">
        <v>235</v>
      </c>
    </row>
    <row r="46" spans="1:11" ht="13.5">
      <c r="A46" s="51">
        <f>(ROW(A46)-29)/3</f>
        <v>5.666666666666667</v>
      </c>
      <c r="B46" s="52" t="s">
        <v>138</v>
      </c>
      <c r="C46" s="53">
        <v>14</v>
      </c>
      <c r="D46" s="71" t="str">
        <f>VLOOKUP($C46,DosF2C!$B$7:$E$100,2)</f>
        <v>DELOR B. / CONSTANT P.</v>
      </c>
      <c r="E46" s="72">
        <f>VLOOKUP($C46,DosF2C!$B$7:$E$100,3)</f>
        <v>0</v>
      </c>
      <c r="F46" s="73" t="str">
        <f>VLOOKUP($C46,DosF2C!$B$7:$E$100,4)</f>
        <v>FRA</v>
      </c>
      <c r="G46" s="87" t="s">
        <v>157</v>
      </c>
      <c r="H46" s="87"/>
      <c r="I46" s="56"/>
      <c r="J46" s="57"/>
      <c r="K46" s="423" t="s">
        <v>172</v>
      </c>
    </row>
    <row r="47" spans="1:11" ht="12.75">
      <c r="A47" s="58">
        <f>A44+$A$47</f>
        <v>0.6062499999999998</v>
      </c>
      <c r="B47" s="59" t="s">
        <v>139</v>
      </c>
      <c r="C47" s="60">
        <v>47</v>
      </c>
      <c r="D47" s="74" t="str">
        <f>VLOOKUP($C47,DosF2C!$B$7:$E$100,2)</f>
        <v>ZHURAVLYOV V. / SOSNOVSKIY V.</v>
      </c>
      <c r="E47" s="75">
        <f>VLOOKUP($C47,DosF2C!$B$7:$E$100,3)</f>
        <v>0</v>
      </c>
      <c r="F47" s="76" t="str">
        <f>VLOOKUP($C47,DosF2C!$B$7:$E$100,4)</f>
        <v>UKR</v>
      </c>
      <c r="G47" s="87" t="s">
        <v>157</v>
      </c>
      <c r="H47" s="87" t="s">
        <v>162</v>
      </c>
      <c r="I47" s="56"/>
      <c r="J47" s="63"/>
      <c r="K47" s="423" t="s">
        <v>232</v>
      </c>
    </row>
    <row r="48" spans="1:11" ht="12.75">
      <c r="A48" s="64"/>
      <c r="B48" s="65" t="s">
        <v>140</v>
      </c>
      <c r="C48" s="66">
        <v>45</v>
      </c>
      <c r="D48" s="77" t="str">
        <f>VLOOKUP($C48,DosF2C!$B$7:$E$100,2)</f>
        <v>BONDARENKO Y. / LERNER S.</v>
      </c>
      <c r="E48" s="79">
        <f>VLOOKUP($C48,DosF2C!$B$7:$E$100,3)</f>
        <v>0</v>
      </c>
      <c r="F48" s="78" t="str">
        <f>VLOOKUP($C48,DosF2C!$B$7:$E$100,4)</f>
        <v>UKR</v>
      </c>
      <c r="G48" s="87" t="s">
        <v>157</v>
      </c>
      <c r="H48" s="87" t="s">
        <v>157</v>
      </c>
      <c r="I48" s="56"/>
      <c r="J48" s="67"/>
      <c r="K48" s="423" t="s">
        <v>231</v>
      </c>
    </row>
  </sheetData>
  <printOptions/>
  <pageMargins left="0.984251968503937" right="0.5905511811023623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workbookViewId="0" topLeftCell="A1">
      <selection activeCell="Q34" sqref="Q34"/>
    </sheetView>
  </sheetViews>
  <sheetFormatPr defaultColWidth="9.140625" defaultRowHeight="12.75"/>
  <cols>
    <col min="1" max="1" width="5.28125" style="0" customWidth="1"/>
    <col min="2" max="2" width="4.8515625" style="22" customWidth="1"/>
    <col min="3" max="3" width="33.140625" style="1" customWidth="1"/>
    <col min="4" max="4" width="5.140625" style="90" customWidth="1"/>
    <col min="5" max="5" width="7.57421875" style="2" customWidth="1"/>
    <col min="6" max="6" width="2.7109375" style="91" customWidth="1"/>
    <col min="7" max="7" width="1.7109375" style="92" customWidth="1"/>
    <col min="8" max="8" width="6.7109375" style="93" customWidth="1"/>
    <col min="9" max="9" width="2.7109375" style="91" customWidth="1"/>
    <col min="10" max="10" width="1.7109375" style="92" customWidth="1"/>
    <col min="11" max="11" width="6.7109375" style="93" customWidth="1"/>
    <col min="12" max="12" width="2.7109375" style="91" customWidth="1"/>
    <col min="13" max="13" width="1.7109375" style="92" customWidth="1"/>
    <col min="14" max="14" width="6.7109375" style="93" customWidth="1"/>
    <col min="15" max="15" width="2.7109375" style="162" customWidth="1"/>
    <col min="16" max="16" width="1.7109375" style="160" customWidth="1"/>
    <col min="17" max="17" width="6.7109375" style="161" customWidth="1"/>
    <col min="18" max="18" width="2.7109375" style="162" customWidth="1"/>
    <col min="19" max="19" width="1.7109375" style="160" customWidth="1"/>
    <col min="20" max="20" width="6.7109375" style="161" customWidth="1"/>
    <col min="21" max="21" width="2.7109375" style="162" customWidth="1"/>
    <col min="22" max="22" width="1.7109375" style="160" customWidth="1"/>
    <col min="23" max="23" width="7.7109375" style="161" customWidth="1"/>
    <col min="24" max="27" width="10.7109375" style="147" customWidth="1"/>
    <col min="28" max="28" width="12.28125" style="147" customWidth="1"/>
    <col min="29" max="29" width="15.00390625" style="148" customWidth="1"/>
    <col min="30" max="30" width="13.7109375" style="0" customWidth="1"/>
    <col min="31" max="31" width="10.7109375" style="148" customWidth="1"/>
    <col min="32" max="32" width="11.421875" style="0" customWidth="1"/>
    <col min="33" max="33" width="12.57421875" style="0" customWidth="1"/>
    <col min="34" max="34" width="11.421875" style="0" customWidth="1"/>
    <col min="35" max="35" width="14.28125" style="0" customWidth="1"/>
    <col min="36" max="36" width="3.140625" style="0" customWidth="1"/>
    <col min="37" max="16384" width="11.421875" style="0" customWidth="1"/>
  </cols>
  <sheetData>
    <row r="1" spans="15:31" ht="3" customHeight="1">
      <c r="O1" s="91"/>
      <c r="P1" s="92"/>
      <c r="Q1" s="93"/>
      <c r="R1" s="91"/>
      <c r="S1" s="92"/>
      <c r="T1" s="93"/>
      <c r="U1" s="91"/>
      <c r="V1" s="92"/>
      <c r="W1" s="93"/>
      <c r="X1" s="95"/>
      <c r="Y1" s="95"/>
      <c r="Z1" s="95"/>
      <c r="AA1" s="95"/>
      <c r="AB1" s="95"/>
      <c r="AC1" s="96"/>
      <c r="AE1" s="150"/>
    </row>
    <row r="2" spans="3:31" ht="13.5">
      <c r="C2" s="37" t="s">
        <v>82</v>
      </c>
      <c r="E2" s="97" t="s">
        <v>102</v>
      </c>
      <c r="F2" s="98"/>
      <c r="G2" s="99"/>
      <c r="H2" s="100"/>
      <c r="I2" s="101"/>
      <c r="J2" s="102"/>
      <c r="O2"/>
      <c r="P2" s="2"/>
      <c r="Q2"/>
      <c r="R2" s="91"/>
      <c r="S2" s="92"/>
      <c r="T2" s="93"/>
      <c r="U2" s="91"/>
      <c r="V2" s="92"/>
      <c r="W2" s="93"/>
      <c r="X2" s="95"/>
      <c r="Y2" s="95"/>
      <c r="Z2" s="95"/>
      <c r="AA2" s="95"/>
      <c r="AB2" s="95"/>
      <c r="AC2" s="96"/>
      <c r="AE2" s="150"/>
    </row>
    <row r="3" spans="5:31" ht="13.5">
      <c r="E3" s="3"/>
      <c r="K3" s="103"/>
      <c r="O3" s="91"/>
      <c r="P3" s="92"/>
      <c r="Q3" s="93"/>
      <c r="R3" s="91"/>
      <c r="S3" s="92"/>
      <c r="T3" s="103"/>
      <c r="U3" s="91"/>
      <c r="V3" s="92"/>
      <c r="W3" s="93"/>
      <c r="X3"/>
      <c r="Y3"/>
      <c r="Z3"/>
      <c r="AA3"/>
      <c r="AB3"/>
      <c r="AC3"/>
      <c r="AE3"/>
    </row>
    <row r="4" spans="2:31" ht="1.5" customHeight="1">
      <c r="B4"/>
      <c r="C4"/>
      <c r="D4"/>
      <c r="E4"/>
      <c r="F4"/>
      <c r="G4"/>
      <c r="H4"/>
      <c r="I4"/>
      <c r="J4"/>
      <c r="K4"/>
      <c r="L4"/>
      <c r="M4"/>
      <c r="N4"/>
      <c r="O4" s="91"/>
      <c r="P4" s="92"/>
      <c r="Q4" s="105"/>
      <c r="R4" s="91"/>
      <c r="S4" s="21"/>
      <c r="T4" s="105"/>
      <c r="U4" s="91"/>
      <c r="V4" s="21"/>
      <c r="W4" s="105"/>
      <c r="X4"/>
      <c r="Y4"/>
      <c r="Z4"/>
      <c r="AA4"/>
      <c r="AB4"/>
      <c r="AC4"/>
      <c r="AE4"/>
    </row>
    <row r="5" spans="5:31" ht="1.5" customHeight="1">
      <c r="E5" s="3"/>
      <c r="F5" s="106"/>
      <c r="G5" s="107"/>
      <c r="H5" s="108"/>
      <c r="O5" s="91"/>
      <c r="P5" s="92"/>
      <c r="Q5" s="105"/>
      <c r="R5" s="91"/>
      <c r="S5" s="21"/>
      <c r="T5" s="105"/>
      <c r="U5" s="91"/>
      <c r="V5" s="21"/>
      <c r="W5" s="105"/>
      <c r="X5" s="109"/>
      <c r="Y5" s="109"/>
      <c r="Z5" s="109"/>
      <c r="AA5" s="109"/>
      <c r="AB5" s="109"/>
      <c r="AC5"/>
      <c r="AE5"/>
    </row>
    <row r="6" spans="1:31" ht="3" customHeight="1">
      <c r="A6" s="226"/>
      <c r="B6" s="225"/>
      <c r="C6" s="112"/>
      <c r="D6" s="113"/>
      <c r="E6" s="113"/>
      <c r="F6" s="114"/>
      <c r="G6" s="115"/>
      <c r="H6" s="293"/>
      <c r="I6" s="117"/>
      <c r="J6" s="118"/>
      <c r="K6" s="296"/>
      <c r="L6" s="117"/>
      <c r="M6" s="118"/>
      <c r="N6" s="119"/>
      <c r="O6" s="117"/>
      <c r="P6" s="118"/>
      <c r="Q6" s="296"/>
      <c r="R6" s="117"/>
      <c r="S6" s="118"/>
      <c r="T6" s="119"/>
      <c r="U6" s="152"/>
      <c r="V6" s="118"/>
      <c r="W6" s="119"/>
      <c r="X6" s="109"/>
      <c r="Y6" s="109"/>
      <c r="Z6" s="109"/>
      <c r="AA6" s="109"/>
      <c r="AB6" s="109"/>
      <c r="AC6"/>
      <c r="AE6"/>
    </row>
    <row r="7" spans="1:40" ht="13.5">
      <c r="A7" s="227" t="s">
        <v>84</v>
      </c>
      <c r="B7" s="25" t="s">
        <v>4</v>
      </c>
      <c r="C7" s="6" t="s">
        <v>5</v>
      </c>
      <c r="D7" s="123"/>
      <c r="E7" s="7" t="s">
        <v>3</v>
      </c>
      <c r="F7" s="124"/>
      <c r="G7" s="125" t="s">
        <v>77</v>
      </c>
      <c r="H7" s="294"/>
      <c r="I7" s="127"/>
      <c r="J7" s="125" t="s">
        <v>78</v>
      </c>
      <c r="K7" s="294"/>
      <c r="L7" s="127"/>
      <c r="M7" s="125" t="s">
        <v>79</v>
      </c>
      <c r="N7" s="126"/>
      <c r="O7" s="127"/>
      <c r="P7" s="125" t="s">
        <v>93</v>
      </c>
      <c r="Q7" s="294"/>
      <c r="R7" s="124"/>
      <c r="S7" s="125" t="s">
        <v>94</v>
      </c>
      <c r="T7" s="126"/>
      <c r="U7" s="153"/>
      <c r="V7" s="125" t="s">
        <v>95</v>
      </c>
      <c r="W7" s="126"/>
      <c r="X7" s="109" t="s">
        <v>77</v>
      </c>
      <c r="Y7" s="109" t="s">
        <v>78</v>
      </c>
      <c r="Z7" s="109" t="s">
        <v>79</v>
      </c>
      <c r="AA7" s="109" t="s">
        <v>86</v>
      </c>
      <c r="AB7" s="2" t="s">
        <v>87</v>
      </c>
      <c r="AC7" s="2" t="s">
        <v>88</v>
      </c>
      <c r="AD7" t="s">
        <v>103</v>
      </c>
      <c r="AE7" s="2" t="s">
        <v>96</v>
      </c>
      <c r="AF7" s="2" t="s">
        <v>97</v>
      </c>
      <c r="AG7" s="2" t="s">
        <v>104</v>
      </c>
      <c r="AH7" s="2" t="s">
        <v>105</v>
      </c>
      <c r="AI7" s="2" t="s">
        <v>106</v>
      </c>
      <c r="AJ7" s="2"/>
      <c r="AK7" s="2" t="s">
        <v>98</v>
      </c>
      <c r="AL7" s="2" t="s">
        <v>104</v>
      </c>
      <c r="AM7" s="2" t="s">
        <v>105</v>
      </c>
      <c r="AN7" s="2" t="s">
        <v>106</v>
      </c>
    </row>
    <row r="8" spans="1:39" ht="3" customHeight="1">
      <c r="A8" s="228"/>
      <c r="B8" s="27"/>
      <c r="C8" s="131"/>
      <c r="D8" s="20"/>
      <c r="E8" s="20"/>
      <c r="F8" s="132"/>
      <c r="G8" s="133"/>
      <c r="H8" s="295"/>
      <c r="I8" s="135"/>
      <c r="J8" s="133"/>
      <c r="K8" s="295"/>
      <c r="L8" s="135"/>
      <c r="M8" s="133"/>
      <c r="N8" s="134"/>
      <c r="O8" s="132"/>
      <c r="P8" s="133"/>
      <c r="Q8" s="295"/>
      <c r="R8" s="132"/>
      <c r="S8" s="133"/>
      <c r="T8" s="134"/>
      <c r="U8" s="266"/>
      <c r="V8" s="133"/>
      <c r="W8" s="134"/>
      <c r="X8" s="109"/>
      <c r="Y8" s="109"/>
      <c r="Z8" s="109"/>
      <c r="AA8" s="109"/>
      <c r="AB8" s="109"/>
      <c r="AC8"/>
      <c r="AE8" s="109"/>
      <c r="AF8" s="109"/>
      <c r="AG8" s="109"/>
      <c r="AH8" s="109"/>
      <c r="AL8" s="109"/>
      <c r="AM8" s="109"/>
    </row>
    <row r="9" spans="1:40" ht="13.5">
      <c r="A9" s="366">
        <f aca="true" t="shared" si="0" ref="A9:A57">ROW(A9)-ROW(A$8)</f>
        <v>1</v>
      </c>
      <c r="B9" s="320">
        <f>IF(($A9&gt;'Semi-Results'!$P$2),RésF2CeInd!B9,RésF2CsInd!B9)</f>
        <v>13</v>
      </c>
      <c r="C9" s="321" t="str">
        <f>VLOOKUP($B9,TempsF2Ce!$B$9:$N$89,2)</f>
        <v>MARET J. / PERRET J.P.</v>
      </c>
      <c r="D9" s="322">
        <f>VLOOKUP($B9,TempsF2Ce!$B$9:$N$89,3)</f>
        <v>0</v>
      </c>
      <c r="E9" s="10" t="str">
        <f>VLOOKUP($B9,TempsF2Ce!$B$9:$N$89,4)</f>
        <v>FRA</v>
      </c>
      <c r="F9" s="347"/>
      <c r="G9" s="323"/>
      <c r="H9" s="372">
        <f>IF($X9="","",IF($X9=1000000,"DISQ",IF($X9&gt;9000,10000-$X9,$X9-INT($X9/60)*60)))</f>
        <v>69</v>
      </c>
      <c r="I9" s="323">
        <f>IF($Y9="","",IF($Y9=1000000,"",IF($Y9=10000,0,IF($Y9&gt;9000,"",INT($Y9/60)))))</f>
        <v>3</v>
      </c>
      <c r="J9" s="323" t="str">
        <f>IF($Y9="","",IF($Y9=1000000,"",IF($Y9=10000,":",IF($Y9&gt;9000,"",":"))))</f>
        <v>:</v>
      </c>
      <c r="K9" s="348">
        <f>IF($Y9="","",IF($Y9=1000000,"DISQ",IF($Y9&gt;9000,10000-$Y9,$Y9-INT($Y9/60)*60)))</f>
        <v>27.69999999999999</v>
      </c>
      <c r="L9" s="387">
        <f>IF($Z9="","",IF($Z9=1000000,"",IF($Z9=10000,0,IF($Z9&gt;9000,"",INT($Z9/60)))))</f>
        <v>3</v>
      </c>
      <c r="M9" s="387" t="str">
        <f>IF($Z9="","",IF($Z9=1000000,"",IF($Z9=10000,":",IF($Z9&gt;9000,"",":"))))</f>
        <v>:</v>
      </c>
      <c r="N9" s="388">
        <f>IF($Z9="","",IF($Z9=1000000,"DISQ",IF($Z9&gt;9000,10000-$Z9,$Z9-INT($Z9/60)*60)))</f>
        <v>12.199999999999989</v>
      </c>
      <c r="O9" s="389">
        <f aca="true" t="shared" si="1" ref="O9:O21">IF($AE9="","",IF($AE9=1000000,"",IF($AE9=10000,0,IF($AE9&gt;9000,"",INT($AE9/60)))))</f>
        <v>3</v>
      </c>
      <c r="P9" s="387" t="str">
        <f aca="true" t="shared" si="2" ref="P9:P15">IF($AE9="","",IF($AE9=1000000,"",IF($AE9=10000,":",IF($AE9&gt;9000,"",":"))))</f>
        <v>:</v>
      </c>
      <c r="Q9" s="390">
        <f aca="true" t="shared" si="3" ref="Q9:Q15">IF($AE9="","",IF($AE9=1000000,"DISQ",IF($AE9&gt;9000,10000-$AE9,$AE9-INT($AE9/60)*60)))</f>
        <v>12.400000000000006</v>
      </c>
      <c r="R9" s="323">
        <f aca="true" t="shared" si="4" ref="R9:R15">IF($AF9="","",IF($AF9=1000000,"",IF($AF9=10000,0,IF($AF9&gt;9000,"",INT($AF9/60)))))</f>
        <v>0</v>
      </c>
      <c r="S9" s="323" t="str">
        <f aca="true" t="shared" si="5" ref="S9:S15">IF($AF9="","",IF($AF9=1000000,"",IF($AF9=10000,":",IF($AF9&gt;9000,"",":"))))</f>
        <v>:</v>
      </c>
      <c r="T9" s="349">
        <f>IF($AF9="","",IF($AF9=1000000,"DISQ",IF($AF9&gt;9000,10000-$AF9,$AF9-INT($AF9/60)*60)))</f>
        <v>0</v>
      </c>
      <c r="U9" s="389">
        <v>6</v>
      </c>
      <c r="V9" s="387" t="s">
        <v>80</v>
      </c>
      <c r="W9" s="419">
        <v>28.9</v>
      </c>
      <c r="X9" s="345">
        <f>VLOOKUP($B9,TempsF2Ce!$B$9:$AA$89,23)</f>
        <v>9931</v>
      </c>
      <c r="Y9" s="346">
        <f>VLOOKUP($B9,TempsF2Ce!$B$9:$AA$89,24)</f>
        <v>207.7</v>
      </c>
      <c r="Z9" s="346">
        <f>VLOOKUP($B9,TempsF2Ce!$B$9:$AA$89,25)</f>
        <v>192.2</v>
      </c>
      <c r="AA9" s="180">
        <f>MIN(X9:Z9)</f>
        <v>192.2</v>
      </c>
      <c r="AB9" s="180">
        <f>SUM(X9:Z9)-MAX(X9:Z9)-MIN(X9:Z9)</f>
        <v>207.70000000000147</v>
      </c>
      <c r="AC9" s="180">
        <f>MAX(X9:Z9)</f>
        <v>9931</v>
      </c>
      <c r="AD9" s="180">
        <f>IF($A9&gt;'Semi-Results'!$P$2,"",MIN($AE9,$AF9))</f>
        <v>192.4</v>
      </c>
      <c r="AE9" s="346">
        <f>IF($A9&gt;'Semi-Results'!$P$2,"",VLOOKUP($B9,'Semi-Results'!$B$9:$AA$100,23))</f>
        <v>192.4</v>
      </c>
      <c r="AF9" s="346">
        <f>IF($A9&gt;'Semi-Results'!$P$2,"",VLOOKUP($B9,'Semi-Results'!$B$9:$AA$100,24))</f>
        <v>10000</v>
      </c>
      <c r="AG9" s="180">
        <f>IF($A9&gt;'Semi-Results'!$P$2,($AA9+10000000),MIN($AE9,$AF9))</f>
        <v>192.4</v>
      </c>
      <c r="AH9" s="142">
        <f>IF($A9&gt;'Semi-Results'!$P$2,($AA9+10000000),MAX($AE9,$AF9))</f>
        <v>10000</v>
      </c>
      <c r="AI9" s="142">
        <f>IF($A9&gt;'Semi-Results'!$P$2,($AA9+10000000),$B9)</f>
        <v>13</v>
      </c>
      <c r="AJ9" s="142"/>
      <c r="AK9" s="346">
        <f>IF($A9&gt;'Semi-Results'!$P$2,"",VLOOKUP($B9,'Semi-Results'!$B$9:$AE$100,29))</f>
      </c>
      <c r="AL9" s="180">
        <f>IF($A9&gt;3,IF($A9&gt;'Semi-Results'!$P$2,MIN($X9:$Z9),MIN($AE9,$AF9)),$AK9)</f>
      </c>
      <c r="AM9" s="180">
        <f>IF($A9&gt;3,IF($A9&gt;'Semi-Results'!$P$2,(SUM($X9:$Z9)-MAX($X9:$Z9)-MIN($X9:$Z9)),MAX($AE9,$AF9)),$AK9)</f>
      </c>
      <c r="AN9" s="180">
        <f>IF($A9&gt;3,IF($A9&gt;'Semi-Results'!$P$2,MAX($X9:$Z9),MAX($AE9,$AF9)),$AK9)</f>
      </c>
    </row>
    <row r="10" spans="1:40" ht="13.5">
      <c r="A10" s="366">
        <f t="shared" si="0"/>
        <v>2</v>
      </c>
      <c r="B10" s="320">
        <f>IF(($A10&gt;'Semi-Results'!$P$2),RésF2CeInd!B11,RésF2CsInd!B11)</f>
        <v>45</v>
      </c>
      <c r="C10" s="321" t="str">
        <f>VLOOKUP($B10,TempsF2Ce!$B$9:$N$89,2)</f>
        <v>BONDARENKO Y. / LERNER S.</v>
      </c>
      <c r="D10" s="322">
        <f>VLOOKUP($B10,TempsF2Ce!$B$9:$N$89,3)</f>
        <v>0</v>
      </c>
      <c r="E10" s="10" t="str">
        <f>VLOOKUP($B10,TempsF2Ce!$B$9:$N$89,4)</f>
        <v>UKR</v>
      </c>
      <c r="F10" s="350">
        <f aca="true" t="shared" si="6" ref="F10:F52">IF($X10="","",IF($X10=1000000,"",IF($X10=10000,0,IF($X10&gt;9000,"",INT($X10/60)))))</f>
        <v>3</v>
      </c>
      <c r="G10" s="306" t="str">
        <f aca="true" t="shared" si="7" ref="G10:G52">IF($X10="","",IF($X10=1000000,"",IF($X10=10000,":",IF($X10&gt;9000,"",":"))))</f>
        <v>:</v>
      </c>
      <c r="H10" s="297">
        <f aca="true" t="shared" si="8" ref="H10:H57">IF($X10="","",IF($X10=1000000,"DISQ",IF($X10&gt;9000,10000-$X10,$X10-INT($X10/60)*60)))</f>
        <v>21.69999999999999</v>
      </c>
      <c r="I10" s="263">
        <f aca="true" t="shared" si="9" ref="I10:I57">IF($Y10="","",IF($Y10=1000000,"",IF($Y10=10000,0,IF($Y10&gt;9000,"",INT($Y10/60)))))</f>
        <v>3</v>
      </c>
      <c r="J10" s="263" t="str">
        <f aca="true" t="shared" si="10" ref="J10:J57">IF($Y10="","",IF($Y10=1000000,"",IF($Y10=10000,":",IF($Y10&gt;9000,"",":"))))</f>
        <v>:</v>
      </c>
      <c r="K10" s="393">
        <f aca="true" t="shared" si="11" ref="K10:K57">IF($Y10="","",IF($Y10=1000000,"DISQ",IF($Y10&gt;9000,10000-$Y10,$Y10-INT($Y10/60)*60)))</f>
        <v>16.69999999999999</v>
      </c>
      <c r="L10" s="306"/>
      <c r="M10" s="306"/>
      <c r="N10" s="376" t="str">
        <f aca="true" t="shared" si="12" ref="N10:N56">IF($Z10="","",IF($Z10=1000000,"DISQ",IF($Z10&gt;9000,10000-$Z10,$Z10-INT($Z10/60)*60)))</f>
        <v>DISQ</v>
      </c>
      <c r="O10" s="350">
        <f t="shared" si="1"/>
        <v>3</v>
      </c>
      <c r="P10" s="306" t="str">
        <f t="shared" si="2"/>
        <v>:</v>
      </c>
      <c r="Q10" s="297">
        <f t="shared" si="3"/>
        <v>27.69999999999999</v>
      </c>
      <c r="R10" s="263">
        <f t="shared" si="4"/>
        <v>3</v>
      </c>
      <c r="S10" s="263" t="str">
        <f t="shared" si="5"/>
        <v>:</v>
      </c>
      <c r="T10" s="421">
        <f aca="true" t="shared" si="13" ref="T10:T24">IF($AF10="","",IF($AF10=1000000,"DISQ",IF($AF10&gt;9000,10000-$AF10,$AF10-INT($AF10/60)*60)))</f>
        <v>13.5</v>
      </c>
      <c r="U10" s="350">
        <v>6</v>
      </c>
      <c r="V10" s="306" t="s">
        <v>80</v>
      </c>
      <c r="W10" s="288">
        <v>45.6</v>
      </c>
      <c r="X10" s="345">
        <f>VLOOKUP($B10,TempsF2Ce!$B$9:$AA$89,23)</f>
        <v>201.7</v>
      </c>
      <c r="Y10" s="346">
        <f>VLOOKUP($B10,TempsF2Ce!$B$9:$AA$89,24)</f>
        <v>196.7</v>
      </c>
      <c r="Z10" s="346">
        <f>VLOOKUP($B10,TempsF2Ce!$B$9:$AA$89,25)</f>
        <v>1000000</v>
      </c>
      <c r="AA10" s="180">
        <f aca="true" t="shared" si="14" ref="AA10:AA57">MIN(X10:Z10)</f>
        <v>196.7</v>
      </c>
      <c r="AB10" s="180">
        <f aca="true" t="shared" si="15" ref="AB10:AB57">SUM(X10:Z10)-MAX(X10:Z10)-MIN(X10:Z10)</f>
        <v>201.7000000000233</v>
      </c>
      <c r="AC10" s="180">
        <f aca="true" t="shared" si="16" ref="AC10:AC57">MAX(X10:Z10)</f>
        <v>1000000</v>
      </c>
      <c r="AD10" s="180">
        <f>IF($A10&gt;'Semi-Results'!$P$2,"",MIN($AE10,$AF10))</f>
        <v>193.5</v>
      </c>
      <c r="AE10" s="346">
        <f>IF($A10&gt;'Semi-Results'!$P$2,"",VLOOKUP($B10,'Semi-Results'!$B$9:$AA$100,23))</f>
        <v>207.7</v>
      </c>
      <c r="AF10" s="346">
        <f>IF($A10&gt;'Semi-Results'!$P$2,"",VLOOKUP($B10,'Semi-Results'!$B$9:$AA$100,24))</f>
        <v>193.5</v>
      </c>
      <c r="AG10" s="180">
        <f>IF($A10&gt;'Semi-Results'!$P$2,($AA10+10000000),MIN($AE10,$AF10))</f>
        <v>193.5</v>
      </c>
      <c r="AH10" s="142">
        <f>IF($A10&gt;'Semi-Results'!$P$2,($AA10+10000000),MAX($AE10,$AF10))</f>
        <v>207.7</v>
      </c>
      <c r="AI10" s="142">
        <f>IF($A10&gt;'Semi-Results'!$P$2,($AA10+10000000),$B10)</f>
        <v>45</v>
      </c>
      <c r="AJ10" s="142"/>
      <c r="AK10" s="346">
        <f>IF($A10&gt;'Semi-Results'!$P$2,"",VLOOKUP($B10,'Semi-Results'!$B$9:$AE$100,29))</f>
      </c>
      <c r="AL10" s="180">
        <f>IF($A10&gt;3,IF($A10&gt;'Semi-Results'!$P$2,MIN($X10:$Z10),MIN($AE10,$AF10)),$AK10)</f>
      </c>
      <c r="AM10" s="180">
        <f>IF($A10&gt;3,IF($A10&gt;'Semi-Results'!$P$2,(SUM($X10:$Z10)-MAX($X10:$Z10)-MIN($X10:$Z10)),MAX($AE10,$AF10)),$AK10)</f>
      </c>
      <c r="AN10" s="180">
        <f>IF($A10&gt;3,IF($A10&gt;'Semi-Results'!$P$2,MAX($X10:$Z10),MAX($AE10,$AF10)),$AK10)</f>
      </c>
    </row>
    <row r="11" spans="1:40" ht="13.5">
      <c r="A11" s="422">
        <f t="shared" si="0"/>
        <v>3</v>
      </c>
      <c r="B11" s="283">
        <f>IF(($A11&gt;'Semi-Results'!$P$2),RésF2CeInd!B10,RésF2CsInd!B10)</f>
        <v>32</v>
      </c>
      <c r="C11" s="233" t="str">
        <f>VLOOKUP($B11,TempsF2Ce!$B$9:$N$89,2)</f>
        <v>CHABACHOV J. / MOSKALEEV S.</v>
      </c>
      <c r="D11" s="284">
        <f>VLOOKUP($B11,TempsF2Ce!$B$9:$N$89,3)</f>
        <v>0</v>
      </c>
      <c r="E11" s="230" t="str">
        <f>VLOOKUP($B11,TempsF2Ce!$B$9:$N$89,4)</f>
        <v>RUS</v>
      </c>
      <c r="F11" s="380">
        <f t="shared" si="6"/>
        <v>3</v>
      </c>
      <c r="G11" s="381" t="str">
        <f t="shared" si="7"/>
        <v>:</v>
      </c>
      <c r="H11" s="382">
        <f t="shared" si="8"/>
        <v>30.599999999999994</v>
      </c>
      <c r="I11" s="383">
        <f t="shared" si="9"/>
        <v>3</v>
      </c>
      <c r="J11" s="381" t="str">
        <f t="shared" si="10"/>
        <v>:</v>
      </c>
      <c r="K11" s="382">
        <f t="shared" si="11"/>
        <v>24.400000000000006</v>
      </c>
      <c r="L11" s="394">
        <f aca="true" t="shared" si="17" ref="L11:L52">IF($Z11="","",IF($Z11=1000000,"",IF($Z11=10000,0,IF($Z11&gt;9000,"",INT($Z11/60)))))</f>
        <v>3</v>
      </c>
      <c r="M11" s="395" t="str">
        <f aca="true" t="shared" si="18" ref="M11:M52">IF($Z11="","",IF($Z11=1000000,"",IF($Z11=10000,":",IF($Z11&gt;9000,"",":"))))</f>
        <v>:</v>
      </c>
      <c r="N11" s="396">
        <f t="shared" si="12"/>
        <v>12.900000000000006</v>
      </c>
      <c r="O11" s="420">
        <f t="shared" si="1"/>
        <v>3</v>
      </c>
      <c r="P11" s="395" t="str">
        <f t="shared" si="2"/>
        <v>:</v>
      </c>
      <c r="Q11" s="397">
        <f t="shared" si="3"/>
        <v>13</v>
      </c>
      <c r="R11" s="383">
        <f t="shared" si="4"/>
        <v>3</v>
      </c>
      <c r="S11" s="381" t="str">
        <f t="shared" si="5"/>
        <v>:</v>
      </c>
      <c r="T11" s="237">
        <f t="shared" si="13"/>
        <v>35.599999999999994</v>
      </c>
      <c r="U11" s="380">
        <f>IF($AK11="","",IF($AK11=1000000,"",IF($AK11=10000,0,IF($AK11&gt;9000,"",INT($AK11/60)))))</f>
      </c>
      <c r="V11" s="381"/>
      <c r="W11" s="412">
        <v>34</v>
      </c>
      <c r="X11" s="345">
        <f>VLOOKUP($B11,TempsF2Ce!$B$9:$AA$89,23)</f>
        <v>210.6</v>
      </c>
      <c r="Y11" s="346">
        <f>VLOOKUP($B11,TempsF2Ce!$B$9:$AA$89,24)</f>
        <v>204.4</v>
      </c>
      <c r="Z11" s="346">
        <f>VLOOKUP($B11,TempsF2Ce!$B$9:$AA$89,25)</f>
        <v>192.9</v>
      </c>
      <c r="AA11" s="180">
        <f t="shared" si="14"/>
        <v>192.9</v>
      </c>
      <c r="AB11" s="180">
        <f t="shared" si="15"/>
        <v>204.39999999999995</v>
      </c>
      <c r="AC11" s="180">
        <f t="shared" si="16"/>
        <v>210.6</v>
      </c>
      <c r="AD11" s="180">
        <f>IF($A11&gt;'Semi-Results'!$P$2,"",MIN($AE11,$AF11))</f>
        <v>193</v>
      </c>
      <c r="AE11" s="346">
        <f>IF($A11&gt;'Semi-Results'!$P$2,"",VLOOKUP($B11,'Semi-Results'!$B$9:$AA$100,23))</f>
        <v>193</v>
      </c>
      <c r="AF11" s="346">
        <f>IF($A11&gt;'Semi-Results'!$P$2,"",VLOOKUP($B11,'Semi-Results'!$B$9:$AA$100,24))</f>
        <v>215.6</v>
      </c>
      <c r="AG11" s="180">
        <f>IF($A11&gt;'Semi-Results'!$P$2,($AA11+10000000),MIN($AE11,$AF11))</f>
        <v>193</v>
      </c>
      <c r="AH11" s="142">
        <f>IF($A11&gt;'Semi-Results'!$P$2,($AA11+10000000),MAX($AE11,$AF11))</f>
        <v>215.6</v>
      </c>
      <c r="AI11" s="142">
        <f>IF($A11&gt;'Semi-Results'!$P$2,($AA11+10000000),$B11)</f>
        <v>32</v>
      </c>
      <c r="AJ11" s="142"/>
      <c r="AK11" s="346">
        <f>IF($A11&gt;'Semi-Results'!$P$2,"",VLOOKUP($B11,'Semi-Results'!$B$9:$AE$100,29))</f>
      </c>
      <c r="AL11" s="180">
        <f>IF($A11&gt;3,IF($A11&gt;'Semi-Results'!$P$2,MIN($X11:$Z11),MIN($AE11,$AF11)),$AK11)</f>
      </c>
      <c r="AM11" s="180">
        <f>IF($A11&gt;3,IF($A11&gt;'Semi-Results'!$P$2,(SUM($X11:$Z11)-MAX($X11:$Z11)-MIN($X11:$Z11)),MAX($AE11,$AF11)),$AK11)</f>
      </c>
      <c r="AN11" s="180">
        <f>IF($A11&gt;3,IF($A11&gt;'Semi-Results'!$P$2,MAX($X11:$Z11),MAX($AE11,$AF11)),$AK11)</f>
      </c>
    </row>
    <row r="12" spans="1:40" ht="13.5">
      <c r="A12" s="229">
        <f t="shared" si="0"/>
        <v>4</v>
      </c>
      <c r="B12" s="320">
        <f>IF(($A12&gt;'Semi-Results'!$P$2),RésF2CeInd!B12,RésF2CsInd!B12)</f>
        <v>15</v>
      </c>
      <c r="C12" s="321" t="str">
        <f>VLOOKUP($B12,TempsF2Ce!$B$9:$N$89,2)</f>
        <v>SURUGUE P. / SURUGUE G.</v>
      </c>
      <c r="D12" s="322">
        <f>VLOOKUP($B12,TempsF2Ce!$B$9:$N$89,3)</f>
        <v>0</v>
      </c>
      <c r="E12" s="10" t="str">
        <f>VLOOKUP($B12,TempsF2Ce!$B$9:$N$89,4)</f>
        <v>FRA</v>
      </c>
      <c r="F12" s="392">
        <f t="shared" si="6"/>
        <v>3</v>
      </c>
      <c r="G12" s="263" t="str">
        <f t="shared" si="7"/>
        <v>:</v>
      </c>
      <c r="H12" s="393">
        <f t="shared" si="8"/>
        <v>18.400000000000006</v>
      </c>
      <c r="I12" s="306"/>
      <c r="J12" s="306"/>
      <c r="K12" s="374">
        <f t="shared" si="11"/>
        <v>74</v>
      </c>
      <c r="L12" s="263"/>
      <c r="M12" s="263"/>
      <c r="N12" s="377">
        <f t="shared" si="12"/>
      </c>
      <c r="O12" s="392">
        <f t="shared" si="1"/>
        <v>3</v>
      </c>
      <c r="P12" s="263" t="str">
        <f t="shared" si="2"/>
        <v>:</v>
      </c>
      <c r="Q12" s="393">
        <f t="shared" si="3"/>
        <v>14.099999999999994</v>
      </c>
      <c r="R12" s="306">
        <f t="shared" si="4"/>
        <v>3</v>
      </c>
      <c r="S12" s="306" t="str">
        <f t="shared" si="5"/>
        <v>:</v>
      </c>
      <c r="T12" s="357">
        <f t="shared" si="13"/>
        <v>16.19999999999999</v>
      </c>
      <c r="W12" s="324"/>
      <c r="X12" s="346">
        <f>VLOOKUP($B12,TempsF2Ce!$B$9:$AA$89,23)</f>
        <v>198.4</v>
      </c>
      <c r="Y12" s="346">
        <f>VLOOKUP($B12,TempsF2Ce!$B$9:$AA$89,24)</f>
        <v>9926</v>
      </c>
      <c r="Z12" s="346">
        <f>VLOOKUP($B12,TempsF2Ce!$B$9:$AA$89,25)</f>
      </c>
      <c r="AA12" s="180">
        <f t="shared" si="14"/>
        <v>198.4</v>
      </c>
      <c r="AB12" s="180">
        <f t="shared" si="15"/>
        <v>-3.694822225952521E-13</v>
      </c>
      <c r="AC12" s="180">
        <f t="shared" si="16"/>
        <v>9926</v>
      </c>
      <c r="AD12" s="180">
        <f>IF($A12&gt;'Semi-Results'!$P$2,"",MIN($AE12,$AF12))</f>
        <v>194.1</v>
      </c>
      <c r="AE12" s="346">
        <f>IF($A12&gt;'Semi-Results'!$P$2,"",VLOOKUP($B12,'Semi-Results'!$B$9:$AA$100,23))</f>
        <v>194.1</v>
      </c>
      <c r="AF12" s="346">
        <f>IF($A12&gt;'Semi-Results'!$P$2,"",VLOOKUP($B12,'Semi-Results'!$B$9:$AA$100,24))</f>
        <v>196.2</v>
      </c>
      <c r="AG12" s="180">
        <f>IF($A12&gt;'Semi-Results'!$P$2,($AA12+10000000),MIN($AE12,$AF12))</f>
        <v>194.1</v>
      </c>
      <c r="AH12" s="142">
        <f>IF($A12&gt;'Semi-Results'!$P$2,($AA12+10000000),MAX($AE12,$AF12))</f>
        <v>196.2</v>
      </c>
      <c r="AI12" s="142">
        <f>IF($A12&gt;'Semi-Results'!$P$2,($AA12+10000000),$B12)</f>
        <v>15</v>
      </c>
      <c r="AJ12" s="142"/>
      <c r="AK12" s="346">
        <f>IF($A12&gt;'Semi-Results'!$P$2,"",VLOOKUP($B12,'Semi-Results'!$B$9:$AE$100,29))</f>
      </c>
      <c r="AL12" s="180">
        <f>IF($A12&gt;3,IF($A12&gt;'Semi-Results'!$P$2,MIN($X12:$Z12),MIN($AE12,$AF12)),$AK12)</f>
        <v>194.1</v>
      </c>
      <c r="AM12" s="180">
        <f>IF($A12&gt;3,IF($A12&gt;'Semi-Results'!$P$2,(SUM($X12:$Z12)-MAX($X12:$Z12)-MIN($X12:$Z12)),MAX($AE12,$AF12)),$AK12)</f>
        <v>196.2</v>
      </c>
      <c r="AN12" s="180">
        <f>IF($A12&gt;3,IF($A12&gt;'Semi-Results'!$P$2,MAX($X12:$Z12),MAX($AE12,$AF12)),$AK12)</f>
        <v>196.2</v>
      </c>
    </row>
    <row r="13" spans="1:40" ht="13.5">
      <c r="A13" s="229">
        <f t="shared" si="0"/>
        <v>5</v>
      </c>
      <c r="B13" s="320">
        <f>IF(($A13&gt;'Semi-Results'!$P$2),RésF2CeInd!B13,RésF2CsInd!B13)</f>
        <v>5</v>
      </c>
      <c r="C13" s="321" t="str">
        <f>VLOOKUP($B13,TempsF2Ce!$B$9:$N$89,2)</f>
        <v>FISCHER J. / STRANIAK H.</v>
      </c>
      <c r="D13" s="322">
        <f>VLOOKUP($B13,TempsF2Ce!$B$9:$N$89,3)</f>
        <v>0</v>
      </c>
      <c r="E13" s="10" t="str">
        <f>VLOOKUP($B13,TempsF2Ce!$B$9:$N$89,4)</f>
        <v>AUT</v>
      </c>
      <c r="F13" s="350">
        <f t="shared" si="6"/>
        <v>3</v>
      </c>
      <c r="G13" s="306" t="str">
        <f t="shared" si="7"/>
        <v>:</v>
      </c>
      <c r="H13" s="297">
        <f t="shared" si="8"/>
        <v>24.599999999999994</v>
      </c>
      <c r="I13" s="306"/>
      <c r="J13" s="306"/>
      <c r="K13" s="374">
        <f t="shared" si="11"/>
        <v>33</v>
      </c>
      <c r="L13" s="263">
        <f t="shared" si="17"/>
        <v>3</v>
      </c>
      <c r="M13" s="263" t="str">
        <f t="shared" si="18"/>
        <v>:</v>
      </c>
      <c r="N13" s="391">
        <f t="shared" si="12"/>
        <v>17</v>
      </c>
      <c r="O13" s="350">
        <f t="shared" si="1"/>
        <v>3</v>
      </c>
      <c r="P13" s="306" t="str">
        <f t="shared" si="2"/>
        <v>:</v>
      </c>
      <c r="Q13" s="297">
        <f t="shared" si="3"/>
        <v>16.599999999999994</v>
      </c>
      <c r="R13" s="263">
        <f t="shared" si="4"/>
        <v>3</v>
      </c>
      <c r="S13" s="263" t="str">
        <f t="shared" si="5"/>
        <v>:</v>
      </c>
      <c r="T13" s="391">
        <f t="shared" si="13"/>
        <v>14.900000000000006</v>
      </c>
      <c r="W13" s="403"/>
      <c r="X13" s="346">
        <f>VLOOKUP($B13,TempsF2Ce!$B$9:$AA$89,23)</f>
        <v>204.6</v>
      </c>
      <c r="Y13" s="346">
        <f>VLOOKUP($B13,TempsF2Ce!$B$9:$AA$89,24)</f>
        <v>9967</v>
      </c>
      <c r="Z13" s="346">
        <f>VLOOKUP($B13,TempsF2Ce!$B$9:$AA$89,25)</f>
        <v>197</v>
      </c>
      <c r="AA13" s="180">
        <f t="shared" si="14"/>
        <v>197</v>
      </c>
      <c r="AB13" s="180">
        <f t="shared" si="15"/>
        <v>204.60000000000036</v>
      </c>
      <c r="AC13" s="180">
        <f t="shared" si="16"/>
        <v>9967</v>
      </c>
      <c r="AD13" s="180">
        <f>IF($A13&gt;'Semi-Results'!$P$2,"",MIN($AE13,$AF13))</f>
        <v>194.9</v>
      </c>
      <c r="AE13" s="346">
        <f>IF($A13&gt;'Semi-Results'!$P$2,"",VLOOKUP($B13,'Semi-Results'!$B$9:$AA$100,23))</f>
        <v>196.6</v>
      </c>
      <c r="AF13" s="346">
        <f>IF($A13&gt;'Semi-Results'!$P$2,"",VLOOKUP($B13,'Semi-Results'!$B$9:$AA$100,24))</f>
        <v>194.9</v>
      </c>
      <c r="AG13" s="180">
        <f>IF($A13&gt;'Semi-Results'!$P$2,($AA13+10000000),MIN($AE13,$AF13))</f>
        <v>194.9</v>
      </c>
      <c r="AH13" s="142">
        <f>IF($A13&gt;'Semi-Results'!$P$2,($AA13+10000000),MAX($AE13,$AF13))</f>
        <v>196.6</v>
      </c>
      <c r="AI13" s="142">
        <f>IF($A13&gt;'Semi-Results'!$P$2,($AA13+10000000),$B13)</f>
        <v>5</v>
      </c>
      <c r="AJ13" s="142"/>
      <c r="AK13" s="346">
        <f>IF($A13&gt;'Semi-Results'!$P$2,"",VLOOKUP($B13,'Semi-Results'!$B$9:$AE$100,29))</f>
      </c>
      <c r="AL13" s="180">
        <f>IF($A13&gt;3,IF($A13&gt;'Semi-Results'!$P$2,MIN($X13:$Z13),MIN($AE13,$AF13)),$AK13)</f>
        <v>194.9</v>
      </c>
      <c r="AM13" s="180">
        <f>IF($A13&gt;3,IF($A13&gt;'Semi-Results'!$P$2,(SUM($X13:$Z13)-MAX($X13:$Z13)-MIN($X13:$Z13)),MAX($AE13,$AF13)),$AK13)</f>
        <v>196.6</v>
      </c>
      <c r="AN13" s="180">
        <f>IF($A13&gt;3,IF($A13&gt;'Semi-Results'!$P$2,MAX($X13:$Z13),MAX($AE13,$AF13)),$AK13)</f>
        <v>196.6</v>
      </c>
    </row>
    <row r="14" spans="1:40" ht="13.5">
      <c r="A14" s="229">
        <f t="shared" si="0"/>
        <v>6</v>
      </c>
      <c r="B14" s="320">
        <f>IF(($A14&gt;'Semi-Results'!$P$2),RésF2CeInd!B14,RésF2CsInd!B14)</f>
        <v>14</v>
      </c>
      <c r="C14" s="321" t="str">
        <f>VLOOKUP($B14,TempsF2Ce!$B$9:$N$89,2)</f>
        <v>DELOR B. / CONSTANT P.</v>
      </c>
      <c r="D14" s="322">
        <f>VLOOKUP($B14,TempsF2Ce!$B$9:$N$89,3)</f>
        <v>0</v>
      </c>
      <c r="E14" s="10" t="str">
        <f>VLOOKUP($B14,TempsF2Ce!$B$9:$N$89,4)</f>
        <v>FRA</v>
      </c>
      <c r="F14" s="392">
        <f t="shared" si="6"/>
        <v>3</v>
      </c>
      <c r="G14" s="263" t="str">
        <f t="shared" si="7"/>
        <v>:</v>
      </c>
      <c r="H14" s="393">
        <f t="shared" si="8"/>
        <v>21.099999999999994</v>
      </c>
      <c r="I14" s="306"/>
      <c r="J14" s="306"/>
      <c r="K14" s="374">
        <f t="shared" si="11"/>
        <v>34</v>
      </c>
      <c r="L14" s="306"/>
      <c r="M14" s="306"/>
      <c r="N14" s="376" t="str">
        <f t="shared" si="12"/>
        <v>DISQ</v>
      </c>
      <c r="O14" s="350">
        <f t="shared" si="1"/>
        <v>3</v>
      </c>
      <c r="P14" s="306" t="str">
        <f t="shared" si="2"/>
        <v>:</v>
      </c>
      <c r="Q14" s="297">
        <f t="shared" si="3"/>
        <v>31.80000000000001</v>
      </c>
      <c r="R14" s="263">
        <f t="shared" si="4"/>
        <v>3</v>
      </c>
      <c r="S14" s="263" t="str">
        <f t="shared" si="5"/>
        <v>:</v>
      </c>
      <c r="T14" s="391">
        <f t="shared" si="13"/>
        <v>17.69999999999999</v>
      </c>
      <c r="W14" s="403"/>
      <c r="X14" s="346">
        <f>VLOOKUP($B14,TempsF2Ce!$B$9:$AA$89,23)</f>
        <v>201.1</v>
      </c>
      <c r="Y14" s="346">
        <f>VLOOKUP($B14,TempsF2Ce!$B$9:$AA$89,24)</f>
        <v>9966</v>
      </c>
      <c r="Z14" s="346">
        <f>VLOOKUP($B14,TempsF2Ce!$B$9:$AA$89,25)</f>
        <v>1000000</v>
      </c>
      <c r="AA14" s="180">
        <f t="shared" si="14"/>
        <v>201.1</v>
      </c>
      <c r="AB14" s="180">
        <f t="shared" si="15"/>
        <v>9965.999999999976</v>
      </c>
      <c r="AC14" s="180">
        <f t="shared" si="16"/>
        <v>1000000</v>
      </c>
      <c r="AD14" s="180">
        <f>IF($A14&gt;'Semi-Results'!$P$2,"",MIN($AE14,$AF14))</f>
        <v>197.7</v>
      </c>
      <c r="AE14" s="346">
        <f>IF($A14&gt;'Semi-Results'!$P$2,"",VLOOKUP($B14,'Semi-Results'!$B$9:$AA$100,23))</f>
        <v>211.8</v>
      </c>
      <c r="AF14" s="346">
        <f>IF($A14&gt;'Semi-Results'!$P$2,"",VLOOKUP($B14,'Semi-Results'!$B$9:$AA$100,24))</f>
        <v>197.7</v>
      </c>
      <c r="AG14" s="180">
        <f>IF($A14&gt;'Semi-Results'!$P$2,($AA14+10000000),MIN($AE14,$AF14))</f>
        <v>197.7</v>
      </c>
      <c r="AH14" s="142">
        <f>IF($A14&gt;'Semi-Results'!$P$2,($AA14+10000000),MAX($AE14,$AF14))</f>
        <v>211.8</v>
      </c>
      <c r="AI14" s="142">
        <f>IF($A14&gt;'Semi-Results'!$P$2,($AA14+10000000),$B14)</f>
        <v>14</v>
      </c>
      <c r="AJ14" s="142"/>
      <c r="AK14" s="346">
        <f>IF($A14&gt;'Semi-Results'!$P$2,"",VLOOKUP($B14,'Semi-Results'!$B$9:$AE$100,29))</f>
      </c>
      <c r="AL14" s="180">
        <f>IF($A14&gt;3,IF($A14&gt;'Semi-Results'!$P$2,MIN($X14:$Z14),MIN($AE14,$AF14)),$AK14)</f>
        <v>197.7</v>
      </c>
      <c r="AM14" s="180">
        <f>IF($A14&gt;3,IF($A14&gt;'Semi-Results'!$P$2,(SUM($X14:$Z14)-MAX($X14:$Z14)-MIN($X14:$Z14)),MAX($AE14,$AF14)),$AK14)</f>
        <v>211.8</v>
      </c>
      <c r="AN14" s="180">
        <f>IF($A14&gt;3,IF($A14&gt;'Semi-Results'!$P$2,MAX($X14:$Z14),MAX($AE14,$AF14)),$AK14)</f>
        <v>211.8</v>
      </c>
    </row>
    <row r="15" spans="1:40" ht="13.5">
      <c r="A15" s="229">
        <f t="shared" si="0"/>
        <v>7</v>
      </c>
      <c r="B15" s="320">
        <f>IF(($A15&gt;'Semi-Results'!$P$2),RésF2CeInd!B15,RésF2CsInd!B15)</f>
        <v>31</v>
      </c>
      <c r="C15" s="321" t="str">
        <f>VLOOKUP($B15,TempsF2Ce!$B$9:$N$89,2)</f>
        <v>MORTINHO A. / GOULAO J.</v>
      </c>
      <c r="D15" s="322">
        <f>VLOOKUP($B15,TempsF2Ce!$B$9:$N$89,3)</f>
        <v>0</v>
      </c>
      <c r="E15" s="10" t="str">
        <f>VLOOKUP($B15,TempsF2Ce!$B$9:$N$89,4)</f>
        <v>POR</v>
      </c>
      <c r="F15" s="350"/>
      <c r="G15" s="306"/>
      <c r="H15" s="373" t="str">
        <f t="shared" si="8"/>
        <v>DISQ</v>
      </c>
      <c r="I15" s="306">
        <f t="shared" si="9"/>
        <v>3</v>
      </c>
      <c r="J15" s="306" t="str">
        <f t="shared" si="10"/>
        <v>:</v>
      </c>
      <c r="K15" s="297">
        <f t="shared" si="11"/>
        <v>25.30000000000001</v>
      </c>
      <c r="L15" s="263">
        <f t="shared" si="17"/>
        <v>3</v>
      </c>
      <c r="M15" s="263" t="str">
        <f t="shared" si="18"/>
        <v>:</v>
      </c>
      <c r="N15" s="391">
        <f t="shared" si="12"/>
        <v>17.599999999999994</v>
      </c>
      <c r="O15" s="392">
        <f t="shared" si="1"/>
        <v>3</v>
      </c>
      <c r="P15" s="263" t="str">
        <f t="shared" si="2"/>
        <v>:</v>
      </c>
      <c r="Q15" s="393">
        <f t="shared" si="3"/>
        <v>19.30000000000001</v>
      </c>
      <c r="R15" s="306">
        <f t="shared" si="4"/>
        <v>3</v>
      </c>
      <c r="S15" s="306" t="str">
        <f t="shared" si="5"/>
        <v>:</v>
      </c>
      <c r="T15" s="288">
        <f t="shared" si="13"/>
        <v>37.80000000000001</v>
      </c>
      <c r="W15" s="403"/>
      <c r="X15" s="346">
        <f>VLOOKUP($B15,TempsF2Ce!$B$9:$AA$89,23)</f>
        <v>1000000</v>
      </c>
      <c r="Y15" s="346">
        <f>VLOOKUP($B15,TempsF2Ce!$B$9:$AA$89,24)</f>
        <v>205.3</v>
      </c>
      <c r="Z15" s="346">
        <f>VLOOKUP($B15,TempsF2Ce!$B$9:$AA$89,25)</f>
        <v>197.6</v>
      </c>
      <c r="AA15" s="180">
        <f t="shared" si="14"/>
        <v>197.6</v>
      </c>
      <c r="AB15" s="180">
        <f t="shared" si="15"/>
        <v>205.3000000000233</v>
      </c>
      <c r="AC15" s="180">
        <f t="shared" si="16"/>
        <v>1000000</v>
      </c>
      <c r="AD15" s="180">
        <f>IF($A15&gt;'Semi-Results'!$P$2,"",MIN($AE15,$AF15))</f>
        <v>199.3</v>
      </c>
      <c r="AE15" s="346">
        <f>IF($A15&gt;'Semi-Results'!$P$2,"",VLOOKUP($B15,'Semi-Results'!$B$9:$AA$100,23))</f>
        <v>199.3</v>
      </c>
      <c r="AF15" s="346">
        <f>IF($A15&gt;'Semi-Results'!$P$2,"",VLOOKUP($B15,'Semi-Results'!$B$9:$AA$100,24))</f>
        <v>217.8</v>
      </c>
      <c r="AG15" s="180">
        <f>IF($A15&gt;'Semi-Results'!$P$2,($AA15+10000000),MIN($AE15,$AF15))</f>
        <v>199.3</v>
      </c>
      <c r="AH15" s="142">
        <f>IF($A15&gt;'Semi-Results'!$P$2,($AA15+10000000),MAX($AE15,$AF15))</f>
        <v>217.8</v>
      </c>
      <c r="AI15" s="142">
        <f>IF($A15&gt;'Semi-Results'!$P$2,($AA15+10000000),$B15)</f>
        <v>31</v>
      </c>
      <c r="AJ15" s="142"/>
      <c r="AK15" s="346">
        <f>IF($A15&gt;'Semi-Results'!$P$2,"",VLOOKUP($B15,'Semi-Results'!$B$9:$AE$100,29))</f>
      </c>
      <c r="AL15" s="180">
        <f>IF($A15&gt;3,IF($A15&gt;'Semi-Results'!$P$2,MIN($X15:$Z15),MIN($AE15,$AF15)),$AK15)</f>
        <v>199.3</v>
      </c>
      <c r="AM15" s="180">
        <f>IF($A15&gt;3,IF($A15&gt;'Semi-Results'!$P$2,(SUM($X15:$Z15)-MAX($X15:$Z15)-MIN($X15:$Z15)),MAX($AE15,$AF15)),$AK15)</f>
        <v>217.8</v>
      </c>
      <c r="AN15" s="180">
        <f>IF($A15&gt;3,IF($A15&gt;'Semi-Results'!$P$2,MAX($X15:$Z15),MAX($AE15,$AF15)),$AK15)</f>
        <v>217.8</v>
      </c>
    </row>
    <row r="16" spans="1:40" ht="13.5">
      <c r="A16" s="229">
        <f t="shared" si="0"/>
        <v>8</v>
      </c>
      <c r="B16" s="320">
        <f>IF(($A16&gt;'Semi-Results'!$P$2),RésF2CeInd!B16,RésF2CsInd!B16)</f>
        <v>34</v>
      </c>
      <c r="C16" s="321" t="str">
        <f>VLOOKUP($B16,TempsF2Ce!$B$9:$N$89,2)</f>
        <v>TITOV V. / JOUGOV V.</v>
      </c>
      <c r="D16" s="322">
        <f>VLOOKUP($B16,TempsF2Ce!$B$9:$N$89,3)</f>
        <v>0</v>
      </c>
      <c r="E16" s="10" t="str">
        <f>VLOOKUP($B16,TempsF2Ce!$B$9:$N$89,4)</f>
        <v>RUS</v>
      </c>
      <c r="F16" s="350">
        <f t="shared" si="6"/>
        <v>3</v>
      </c>
      <c r="G16" s="306" t="str">
        <f t="shared" si="7"/>
        <v>:</v>
      </c>
      <c r="H16" s="297">
        <f t="shared" si="8"/>
        <v>27</v>
      </c>
      <c r="I16" s="263">
        <f t="shared" si="9"/>
        <v>3</v>
      </c>
      <c r="J16" s="263" t="str">
        <f t="shared" si="10"/>
        <v>:</v>
      </c>
      <c r="K16" s="393">
        <f t="shared" si="11"/>
        <v>18</v>
      </c>
      <c r="L16" s="306">
        <f t="shared" si="17"/>
        <v>3</v>
      </c>
      <c r="M16" s="306" t="str">
        <f t="shared" si="18"/>
        <v>:</v>
      </c>
      <c r="N16" s="288">
        <f t="shared" si="12"/>
        <v>54</v>
      </c>
      <c r="O16" s="392">
        <f t="shared" si="1"/>
        <v>3</v>
      </c>
      <c r="P16" s="263" t="s">
        <v>80</v>
      </c>
      <c r="Q16" s="393">
        <v>21.3</v>
      </c>
      <c r="R16" s="378"/>
      <c r="S16" s="306"/>
      <c r="T16" s="376" t="str">
        <f t="shared" si="13"/>
        <v>DISQ</v>
      </c>
      <c r="W16" s="403"/>
      <c r="X16" s="346">
        <f>VLOOKUP($B16,TempsF2Ce!$B$9:$AA$89,23)</f>
        <v>207</v>
      </c>
      <c r="Y16" s="346">
        <f>VLOOKUP($B16,TempsF2Ce!$B$9:$AA$89,24)</f>
        <v>198</v>
      </c>
      <c r="Z16" s="346">
        <f>VLOOKUP($B16,TempsF2Ce!$B$9:$AA$89,25)</f>
        <v>234</v>
      </c>
      <c r="AA16" s="180">
        <f t="shared" si="14"/>
        <v>198</v>
      </c>
      <c r="AB16" s="180">
        <f t="shared" si="15"/>
        <v>207</v>
      </c>
      <c r="AC16" s="180">
        <f t="shared" si="16"/>
        <v>234</v>
      </c>
      <c r="AD16" s="180">
        <f>IF($A16&gt;'Semi-Results'!$P$2,"",MIN($AE16,$AF16))</f>
        <v>201.3</v>
      </c>
      <c r="AE16" s="346">
        <f>IF($A16&gt;'Semi-Results'!$P$2,"",VLOOKUP($B16,'Semi-Results'!$B$9:$AA$100,23))</f>
        <v>201.3</v>
      </c>
      <c r="AF16" s="346">
        <f>IF($A16&gt;'Semi-Results'!$P$2,"",VLOOKUP($B16,'Semi-Results'!$B$9:$AA$100,24))</f>
        <v>1000000</v>
      </c>
      <c r="AG16" s="180">
        <f>IF($A16&gt;'Semi-Results'!$P$2,($AA16+10000000),MIN($AE16,$AF16))</f>
        <v>201.3</v>
      </c>
      <c r="AH16" s="142">
        <f>IF($A16&gt;'Semi-Results'!$P$2,($AA16+10000000),MAX($AE16,$AF16))</f>
        <v>1000000</v>
      </c>
      <c r="AI16" s="142">
        <f>IF($A16&gt;'Semi-Results'!$P$2,($AA16+10000000),$B16)</f>
        <v>34</v>
      </c>
      <c r="AJ16" s="142"/>
      <c r="AK16" s="346">
        <f>IF($A16&gt;'Semi-Results'!$P$2,"",VLOOKUP($B16,'Semi-Results'!$B$9:$AE$100,29))</f>
      </c>
      <c r="AL16" s="180">
        <f>IF($A16&gt;3,IF($A16&gt;'Semi-Results'!$P$2,MIN($X16:$Z16),MIN($AE16,$AF16)),$AK16)</f>
        <v>201.3</v>
      </c>
      <c r="AM16" s="180">
        <f>IF($A16&gt;3,IF($A16&gt;'Semi-Results'!$P$2,(SUM($X16:$Z16)-MAX($X16:$Z16)-MIN($X16:$Z16)),MAX($AE16,$AF16)),$AK16)</f>
        <v>1000000</v>
      </c>
      <c r="AN16" s="180">
        <f>IF($A16&gt;3,IF($A16&gt;'Semi-Results'!$P$2,MAX($X16:$Z16),MAX($AE16,$AF16)),$AK16)</f>
        <v>1000000</v>
      </c>
    </row>
    <row r="17" spans="1:40" ht="13.5">
      <c r="A17" s="229">
        <f t="shared" si="0"/>
        <v>9</v>
      </c>
      <c r="B17" s="320">
        <f>IF(($A17&gt;'Semi-Results'!$P$2),RésF2CeInd!B17,RésF2CsInd!B17)</f>
        <v>19</v>
      </c>
      <c r="C17" s="321" t="str">
        <f>VLOOKUP($B17,TempsF2Ce!$B$9:$N$89,2)</f>
        <v>ROSS M. / TURNER B.</v>
      </c>
      <c r="D17" s="322">
        <f>VLOOKUP($B17,TempsF2Ce!$B$9:$N$89,3)</f>
        <v>0</v>
      </c>
      <c r="E17" s="10" t="str">
        <f>VLOOKUP($B17,TempsF2Ce!$B$9:$N$89,4)</f>
        <v>GBR</v>
      </c>
      <c r="F17" s="392">
        <f t="shared" si="6"/>
        <v>3</v>
      </c>
      <c r="G17" s="263" t="str">
        <f t="shared" si="7"/>
        <v>:</v>
      </c>
      <c r="H17" s="393">
        <f t="shared" si="8"/>
        <v>19.69999999999999</v>
      </c>
      <c r="I17" s="306">
        <f t="shared" si="9"/>
        <v>3</v>
      </c>
      <c r="J17" s="306" t="str">
        <f t="shared" si="10"/>
        <v>:</v>
      </c>
      <c r="K17" s="297">
        <f t="shared" si="11"/>
        <v>20.5</v>
      </c>
      <c r="L17" s="306">
        <f t="shared" si="17"/>
        <v>3</v>
      </c>
      <c r="M17" s="306" t="str">
        <f t="shared" si="18"/>
        <v>:</v>
      </c>
      <c r="N17" s="288">
        <f t="shared" si="12"/>
        <v>22</v>
      </c>
      <c r="O17" s="392">
        <f t="shared" si="1"/>
        <v>3</v>
      </c>
      <c r="P17" s="263" t="str">
        <f>IF($AE17="","",IF($AE17=1000000,"",IF($AE17=10000,":",IF($AE17&gt;9000,"",":"))))</f>
        <v>:</v>
      </c>
      <c r="Q17" s="393">
        <f>IF($AE17="","",IF($AE17=1000000,"DISQ",IF($AE17&gt;9000,10000-$AE17,$AE17-INT($AE17/60)*60)))</f>
        <v>22</v>
      </c>
      <c r="R17" s="306">
        <f>IF($AF17="","",IF($AF17=1000000,"",IF($AF17=10000,0,IF($AF17&gt;9000,"",INT($AF17/60)))))</f>
        <v>3</v>
      </c>
      <c r="S17" s="306" t="str">
        <f>IF($AF17="","",IF($AF17=1000000,"",IF($AF17=10000,":",IF($AF17&gt;9000,"",":"))))</f>
        <v>:</v>
      </c>
      <c r="T17" s="288">
        <f t="shared" si="13"/>
        <v>26</v>
      </c>
      <c r="W17" s="403"/>
      <c r="X17" s="346">
        <f>VLOOKUP($B17,TempsF2Ce!$B$9:$AA$89,23)</f>
        <v>199.7</v>
      </c>
      <c r="Y17" s="346">
        <f>VLOOKUP($B17,TempsF2Ce!$B$9:$AA$89,24)</f>
        <v>200.5</v>
      </c>
      <c r="Z17" s="346">
        <f>VLOOKUP($B17,TempsF2Ce!$B$9:$AA$89,25)</f>
        <v>202</v>
      </c>
      <c r="AA17" s="180">
        <f t="shared" si="14"/>
        <v>199.7</v>
      </c>
      <c r="AB17" s="180">
        <f t="shared" si="15"/>
        <v>200.50000000000006</v>
      </c>
      <c r="AC17" s="180">
        <f t="shared" si="16"/>
        <v>202</v>
      </c>
      <c r="AD17" s="180">
        <f>IF($A17&gt;'Semi-Results'!$P$2,"",MIN($AE17,$AF17))</f>
        <v>202</v>
      </c>
      <c r="AE17" s="346">
        <f>IF($A17&gt;'Semi-Results'!$P$2,"",VLOOKUP($B17,'Semi-Results'!$B$9:$AA$100,23))</f>
        <v>202</v>
      </c>
      <c r="AF17" s="346">
        <f>IF($A17&gt;'Semi-Results'!$P$2,"",VLOOKUP($B17,'Semi-Results'!$B$9:$AA$100,24))</f>
        <v>206</v>
      </c>
      <c r="AG17" s="180">
        <f>IF($A17&gt;'Semi-Results'!$P$2,($AA17+10000000),MIN($AE17,$AF17))</f>
        <v>202</v>
      </c>
      <c r="AH17" s="142">
        <f>IF($A17&gt;'Semi-Results'!$P$2,($AA17+10000000),MAX($AE17,$AF17))</f>
        <v>206</v>
      </c>
      <c r="AI17" s="142">
        <f>IF($A17&gt;'Semi-Results'!$P$2,($AA17+10000000),$B17)</f>
        <v>19</v>
      </c>
      <c r="AJ17" s="142"/>
      <c r="AK17" s="346">
        <f>IF($A17&gt;'Semi-Results'!$P$2,"",VLOOKUP($B17,'Semi-Results'!$B$9:$AE$100,29))</f>
      </c>
      <c r="AL17" s="180">
        <f>IF($A17&gt;3,IF($A17&gt;'Semi-Results'!$P$2,MIN($X17:$Z17),MIN($AE17,$AF17)),$AK17)</f>
        <v>202</v>
      </c>
      <c r="AM17" s="180">
        <f>IF($A17&gt;3,IF($A17&gt;'Semi-Results'!$P$2,(SUM($X17:$Z17)-MAX($X17:$Z17)-MIN($X17:$Z17)),MAX($AE17,$AF17)),$AK17)</f>
        <v>206</v>
      </c>
      <c r="AN17" s="180">
        <f>IF($A17&gt;3,IF($A17&gt;'Semi-Results'!$P$2,MAX($X17:$Z17),MAX($AE17,$AF17)),$AK17)</f>
        <v>206</v>
      </c>
    </row>
    <row r="18" spans="1:40" ht="13.5">
      <c r="A18" s="229">
        <f t="shared" si="0"/>
        <v>10</v>
      </c>
      <c r="B18" s="320">
        <f>IF(($A18&gt;'Semi-Results'!$P$2),RésF2CeInd!B18,RésF2CsInd!B18)</f>
        <v>26</v>
      </c>
      <c r="C18" s="321" t="str">
        <f>VLOOKUP($B18,TempsF2Ce!$B$9:$N$89,2)</f>
        <v>MARTINI G. / MENOZZI M.</v>
      </c>
      <c r="D18" s="322">
        <f>VLOOKUP($B18,TempsF2Ce!$B$9:$N$89,3)</f>
        <v>0</v>
      </c>
      <c r="E18" s="10" t="str">
        <f>VLOOKUP($B18,TempsF2Ce!$B$9:$N$89,4)</f>
        <v>ITA</v>
      </c>
      <c r="F18" s="350">
        <f t="shared" si="6"/>
        <v>3</v>
      </c>
      <c r="G18" s="306" t="str">
        <f t="shared" si="7"/>
        <v>:</v>
      </c>
      <c r="H18" s="297">
        <f t="shared" si="8"/>
        <v>21.30000000000001</v>
      </c>
      <c r="I18" s="306">
        <f t="shared" si="9"/>
        <v>3</v>
      </c>
      <c r="J18" s="306" t="str">
        <f t="shared" si="10"/>
        <v>:</v>
      </c>
      <c r="K18" s="297">
        <f t="shared" si="11"/>
        <v>25.900000000000006</v>
      </c>
      <c r="L18" s="263">
        <f t="shared" si="17"/>
        <v>3</v>
      </c>
      <c r="M18" s="263" t="str">
        <f t="shared" si="18"/>
        <v>:</v>
      </c>
      <c r="N18" s="391">
        <f t="shared" si="12"/>
        <v>20.400000000000006</v>
      </c>
      <c r="O18" s="350">
        <f t="shared" si="1"/>
        <v>3</v>
      </c>
      <c r="P18" s="306" t="str">
        <f>IF($AE18="","",IF($AE18=1000000,"",IF($AE18=10000,":",IF($AE18&gt;9000,"",":"))))</f>
        <v>:</v>
      </c>
      <c r="Q18" s="297">
        <f>IF($AE18="","",IF($AE18=1000000,"DISQ",IF($AE18&gt;9000,10000-$AE18,$AE18-INT($AE18/60)*60)))</f>
        <v>27.599999999999994</v>
      </c>
      <c r="R18" s="263">
        <f>IF($AF18="","",IF($AF18=1000000,"",IF($AF18=10000,0,IF($AF18&gt;9000,"",INT($AF18/60)))))</f>
        <v>3</v>
      </c>
      <c r="S18" s="263" t="str">
        <f>IF($AF18="","",IF($AF18=1000000,"",IF($AF18=10000,":",IF($AF18&gt;9000,"",":"))))</f>
        <v>:</v>
      </c>
      <c r="T18" s="391">
        <f t="shared" si="13"/>
        <v>22.099999999999994</v>
      </c>
      <c r="W18" s="403"/>
      <c r="X18" s="346">
        <f>VLOOKUP($B18,TempsF2Ce!$B$9:$AA$89,23)</f>
        <v>201.3</v>
      </c>
      <c r="Y18" s="346">
        <f>VLOOKUP($B18,TempsF2Ce!$B$9:$AA$89,24)</f>
        <v>205.9</v>
      </c>
      <c r="Z18" s="346">
        <f>VLOOKUP($B18,TempsF2Ce!$B$9:$AA$89,25)</f>
        <v>200.4</v>
      </c>
      <c r="AA18" s="180">
        <f t="shared" si="14"/>
        <v>200.4</v>
      </c>
      <c r="AB18" s="180">
        <f t="shared" si="15"/>
        <v>201.30000000000004</v>
      </c>
      <c r="AC18" s="180">
        <f t="shared" si="16"/>
        <v>205.9</v>
      </c>
      <c r="AD18" s="180">
        <f>IF($A18&gt;'Semi-Results'!$P$2,"",MIN($AE18,$AF18))</f>
        <v>202.1</v>
      </c>
      <c r="AE18" s="346">
        <f>IF($A18&gt;'Semi-Results'!$P$2,"",VLOOKUP($B18,'Semi-Results'!$B$9:$AA$100,23))</f>
        <v>207.6</v>
      </c>
      <c r="AF18" s="346">
        <f>IF($A18&gt;'Semi-Results'!$P$2,"",VLOOKUP($B18,'Semi-Results'!$B$9:$AA$100,24))</f>
        <v>202.1</v>
      </c>
      <c r="AG18" s="180">
        <f>IF($A18&gt;'Semi-Results'!$P$2,($AA18+10000000),MIN($AE18,$AF18))</f>
        <v>202.1</v>
      </c>
      <c r="AH18" s="142">
        <f>IF($A18&gt;'Semi-Results'!$P$2,($AA18+10000000),MAX($AE18,$AF18))</f>
        <v>207.6</v>
      </c>
      <c r="AI18" s="142">
        <f>IF($A18&gt;'Semi-Results'!$P$2,($AA18+10000000),$B18)</f>
        <v>26</v>
      </c>
      <c r="AJ18" s="142"/>
      <c r="AK18" s="346">
        <f>IF($A18&gt;'Semi-Results'!$P$2,"",VLOOKUP($B18,'Semi-Results'!$B$9:$AE$100,29))</f>
      </c>
      <c r="AL18" s="180">
        <f>IF($A18&gt;3,IF($A18&gt;'Semi-Results'!$P$2,MIN($X18:$Z18),MIN($AE18,$AF18)),$AK18)</f>
        <v>202.1</v>
      </c>
      <c r="AM18" s="180">
        <f>IF($A18&gt;3,IF($A18&gt;'Semi-Results'!$P$2,(SUM($X18:$Z18)-MAX($X18:$Z18)-MIN($X18:$Z18)),MAX($AE18,$AF18)),$AK18)</f>
        <v>207.6</v>
      </c>
      <c r="AN18" s="180">
        <f>IF($A18&gt;3,IF($A18&gt;'Semi-Results'!$P$2,MAX($X18:$Z18),MAX($AE18,$AF18)),$AK18)</f>
        <v>207.6</v>
      </c>
    </row>
    <row r="19" spans="1:40" ht="13.5">
      <c r="A19" s="229">
        <f t="shared" si="0"/>
        <v>11</v>
      </c>
      <c r="B19" s="320">
        <f>IF(($A19&gt;'Semi-Results'!$P$2),RésF2CeInd!B19,RésF2CsInd!B19)</f>
        <v>49</v>
      </c>
      <c r="C19" s="321" t="str">
        <f>VLOOKUP($B19,TempsF2Ce!$B$9:$N$89,2)</f>
        <v>ASCHER A. / ASCHER L.</v>
      </c>
      <c r="D19" s="322">
        <f>VLOOKUP($B19,TempsF2Ce!$B$9:$N$89,3)</f>
        <v>0</v>
      </c>
      <c r="E19" s="10" t="str">
        <f>VLOOKUP($B19,TempsF2Ce!$B$9:$N$89,4)</f>
        <v>USA</v>
      </c>
      <c r="F19" s="350">
        <f t="shared" si="6"/>
        <v>3</v>
      </c>
      <c r="G19" s="306" t="str">
        <f t="shared" si="7"/>
        <v>:</v>
      </c>
      <c r="H19" s="297">
        <f t="shared" si="8"/>
        <v>31.5</v>
      </c>
      <c r="I19" s="263">
        <f t="shared" si="9"/>
        <v>3</v>
      </c>
      <c r="J19" s="263" t="str">
        <f t="shared" si="10"/>
        <v>:</v>
      </c>
      <c r="K19" s="393">
        <f t="shared" si="11"/>
        <v>24.69999999999999</v>
      </c>
      <c r="L19" s="306">
        <f t="shared" si="17"/>
        <v>3</v>
      </c>
      <c r="M19" s="306" t="str">
        <f t="shared" si="18"/>
        <v>:</v>
      </c>
      <c r="N19" s="288">
        <f t="shared" si="12"/>
        <v>29.599999999999994</v>
      </c>
      <c r="O19" s="392">
        <f t="shared" si="1"/>
        <v>3</v>
      </c>
      <c r="P19" s="263" t="s">
        <v>80</v>
      </c>
      <c r="Q19" s="393">
        <v>22.5</v>
      </c>
      <c r="R19" s="398"/>
      <c r="S19" s="399"/>
      <c r="T19" s="400">
        <f t="shared" si="13"/>
      </c>
      <c r="W19" s="403"/>
      <c r="X19" s="346">
        <f>VLOOKUP($B19,TempsF2Ce!$B$9:$AA$89,23)</f>
        <v>211.5</v>
      </c>
      <c r="Y19" s="346">
        <f>VLOOKUP($B19,TempsF2Ce!$B$9:$AA$89,24)</f>
        <v>204.7</v>
      </c>
      <c r="Z19" s="346">
        <f>VLOOKUP($B19,TempsF2Ce!$B$9:$AA$89,25)</f>
        <v>209.6</v>
      </c>
      <c r="AA19" s="180">
        <f t="shared" si="14"/>
        <v>204.7</v>
      </c>
      <c r="AB19" s="180">
        <f t="shared" si="15"/>
        <v>209.59999999999997</v>
      </c>
      <c r="AC19" s="180">
        <f t="shared" si="16"/>
        <v>211.5</v>
      </c>
      <c r="AD19" s="180">
        <f>IF($A19&gt;'Semi-Results'!$P$2,"",MIN($AE19,$AF19))</f>
        <v>202.5</v>
      </c>
      <c r="AE19" s="346">
        <f>IF($A19&gt;'Semi-Results'!$P$2,"",VLOOKUP($B19,'Semi-Results'!$B$9:$AA$100,23))</f>
        <v>202.5</v>
      </c>
      <c r="AF19" s="346">
        <f>IF($A19&gt;'Semi-Results'!$P$2,"",VLOOKUP($B19,'Semi-Results'!$B$9:$AA$100,24))</f>
      </c>
      <c r="AG19" s="180">
        <f>IF($A19&gt;'Semi-Results'!$P$2,($AA19+10000000),MIN($AE19,$AF19))</f>
        <v>202.5</v>
      </c>
      <c r="AH19" s="142">
        <f>IF($A19&gt;'Semi-Results'!$P$2,($AA19+10000000),MAX($AE19,$AF19))</f>
        <v>202.5</v>
      </c>
      <c r="AI19" s="142">
        <f>IF($A19&gt;'Semi-Results'!$P$2,($AA19+10000000),$B19)</f>
        <v>49</v>
      </c>
      <c r="AJ19" s="142"/>
      <c r="AK19" s="346">
        <f>IF($A19&gt;'Semi-Results'!$P$2,"",VLOOKUP($B19,'Semi-Results'!$B$9:$AE$100,29))</f>
      </c>
      <c r="AL19" s="180">
        <f>IF($A19&gt;3,IF($A19&gt;'Semi-Results'!$P$2,MIN($X19:$Z19),MIN($AE19,$AF19)),$AK19)</f>
        <v>202.5</v>
      </c>
      <c r="AM19" s="180">
        <f>IF($A19&gt;3,IF($A19&gt;'Semi-Results'!$P$2,(SUM($X19:$Z19)-MAX($X19:$Z19)-MIN($X19:$Z19)),MAX($AE19,$AF19)),$AK19)</f>
        <v>202.5</v>
      </c>
      <c r="AN19" s="180">
        <f>IF($A19&gt;3,IF($A19&gt;'Semi-Results'!$P$2,MAX($X19:$Z19),MAX($AE19,$AF19)),$AK19)</f>
        <v>202.5</v>
      </c>
    </row>
    <row r="20" spans="1:40" ht="13.5">
      <c r="A20" s="229">
        <f t="shared" si="0"/>
        <v>12</v>
      </c>
      <c r="B20" s="320">
        <f>IF(($A20&gt;'Semi-Results'!$P$2),RésF2CeInd!B20,RésF2CsInd!B20)</f>
        <v>25</v>
      </c>
      <c r="C20" s="321" t="str">
        <f>VLOOKUP($B20,TempsF2Ce!$B$9:$N$89,2)</f>
        <v>MAGLI M./  PIRAZZINI E.</v>
      </c>
      <c r="D20" s="322">
        <f>VLOOKUP($B20,TempsF2Ce!$B$9:$N$89,3)</f>
        <v>0</v>
      </c>
      <c r="E20" s="10" t="str">
        <f>VLOOKUP($B20,TempsF2Ce!$B$9:$N$89,4)</f>
        <v>ITA</v>
      </c>
      <c r="F20" s="350">
        <f t="shared" si="6"/>
        <v>4</v>
      </c>
      <c r="G20" s="306" t="str">
        <f t="shared" si="7"/>
        <v>:</v>
      </c>
      <c r="H20" s="297">
        <f t="shared" si="8"/>
        <v>7.060000000000002</v>
      </c>
      <c r="I20" s="306">
        <f t="shared" si="9"/>
        <v>3</v>
      </c>
      <c r="J20" s="306" t="str">
        <f t="shared" si="10"/>
        <v>:</v>
      </c>
      <c r="K20" s="297">
        <f t="shared" si="11"/>
        <v>27.19999999999999</v>
      </c>
      <c r="L20" s="263">
        <f t="shared" si="17"/>
        <v>3</v>
      </c>
      <c r="M20" s="263" t="str">
        <f t="shared" si="18"/>
        <v>:</v>
      </c>
      <c r="N20" s="391">
        <f t="shared" si="12"/>
        <v>21.099999999999994</v>
      </c>
      <c r="O20" s="392">
        <f t="shared" si="1"/>
        <v>3</v>
      </c>
      <c r="P20" s="263" t="str">
        <f>IF($AE20="","",IF($AE20=1000000,"",IF($AE20=10000,":",IF($AE20&gt;9000,"",":"))))</f>
        <v>:</v>
      </c>
      <c r="Q20" s="393">
        <f>IF($AE20="","",IF($AE20=1000000,"DISQ",IF($AE20&gt;9000,10000-$AE20,$AE20-INT($AE20/60)*60)))</f>
        <v>30.69999999999999</v>
      </c>
      <c r="R20" s="306">
        <f>IF($AF20="","",IF($AF20=1000000,"",IF($AF20=10000,0,IF($AF20&gt;9000,"",INT($AF20/60)))))</f>
        <v>4</v>
      </c>
      <c r="S20" s="306" t="str">
        <f>IF($AF20="","",IF($AF20=1000000,"",IF($AF20=10000,":",IF($AF20&gt;9000,"",":"))))</f>
        <v>:</v>
      </c>
      <c r="T20" s="288">
        <f t="shared" si="13"/>
        <v>9.199999999999989</v>
      </c>
      <c r="W20" s="403"/>
      <c r="X20" s="346">
        <f>VLOOKUP($B20,TempsF2Ce!$B$9:$AA$89,23)</f>
        <v>247.06</v>
      </c>
      <c r="Y20" s="346">
        <f>VLOOKUP($B20,TempsF2Ce!$B$9:$AA$89,24)</f>
        <v>207.2</v>
      </c>
      <c r="Z20" s="346">
        <f>VLOOKUP($B20,TempsF2Ce!$B$9:$AA$89,25)</f>
        <v>201.1</v>
      </c>
      <c r="AA20" s="180">
        <f t="shared" si="14"/>
        <v>201.1</v>
      </c>
      <c r="AB20" s="180">
        <f t="shared" si="15"/>
        <v>207.20000000000002</v>
      </c>
      <c r="AC20" s="180">
        <f t="shared" si="16"/>
        <v>247.06</v>
      </c>
      <c r="AD20" s="180">
        <f>IF($A20&gt;'Semi-Results'!$P$2,"",MIN($AE20,$AF20))</f>
        <v>210.7</v>
      </c>
      <c r="AE20" s="346">
        <f>IF($A20&gt;'Semi-Results'!$P$2,"",VLOOKUP($B20,'Semi-Results'!$B$9:$AA$100,23))</f>
        <v>210.7</v>
      </c>
      <c r="AF20" s="346">
        <f>IF($A20&gt;'Semi-Results'!$P$2,"",VLOOKUP($B20,'Semi-Results'!$B$9:$AA$100,24))</f>
        <v>249.2</v>
      </c>
      <c r="AG20" s="180">
        <f>IF($A20&gt;'Semi-Results'!$P$2,($AA20+10000000),MIN($AE20,$AF20))</f>
        <v>210.7</v>
      </c>
      <c r="AH20" s="142">
        <f>IF($A20&gt;'Semi-Results'!$P$2,($AA20+10000000),MAX($AE20,$AF20))</f>
        <v>249.2</v>
      </c>
      <c r="AI20" s="142">
        <f>IF($A20&gt;'Semi-Results'!$P$2,($AA20+10000000),$B20)</f>
        <v>25</v>
      </c>
      <c r="AJ20" s="142"/>
      <c r="AK20" s="346">
        <f>IF($A20&gt;'Semi-Results'!$P$2,"",VLOOKUP($B20,'Semi-Results'!$B$9:$AE$100,29))</f>
      </c>
      <c r="AL20" s="180">
        <f>IF($A20&gt;3,IF($A20&gt;'Semi-Results'!$P$2,MIN($X20:$Z20),MIN($AE20,$AF20)),$AK20)</f>
        <v>210.7</v>
      </c>
      <c r="AM20" s="180">
        <f>IF($A20&gt;3,IF($A20&gt;'Semi-Results'!$P$2,(SUM($X20:$Z20)-MAX($X20:$Z20)-MIN($X20:$Z20)),MAX($AE20,$AF20)),$AK20)</f>
        <v>249.2</v>
      </c>
      <c r="AN20" s="180">
        <f>IF($A20&gt;3,IF($A20&gt;'Semi-Results'!$P$2,MAX($X20:$Z20),MAX($AE20,$AF20)),$AK20)</f>
        <v>249.2</v>
      </c>
    </row>
    <row r="21" spans="1:40" ht="13.5">
      <c r="A21" s="229">
        <f t="shared" si="0"/>
        <v>13</v>
      </c>
      <c r="B21" s="320">
        <f>IF(($A21&gt;'Semi-Results'!$P$2),RésF2CeInd!B21,RésF2CsInd!B21)</f>
        <v>24</v>
      </c>
      <c r="C21" s="321" t="str">
        <f>VLOOKUP($B21,TempsF2Ce!$B$9:$N$89,2)</f>
        <v>PENNISI R. / ROSSI A.</v>
      </c>
      <c r="D21" s="322">
        <f>VLOOKUP($B21,TempsF2Ce!$B$9:$N$89,3)</f>
        <v>0</v>
      </c>
      <c r="E21" s="10" t="str">
        <f>VLOOKUP($B21,TempsF2Ce!$B$9:$N$89,4)</f>
        <v>ITA</v>
      </c>
      <c r="F21" s="392">
        <f t="shared" si="6"/>
        <v>3</v>
      </c>
      <c r="G21" s="263" t="str">
        <f t="shared" si="7"/>
        <v>:</v>
      </c>
      <c r="H21" s="393">
        <f t="shared" si="8"/>
        <v>15</v>
      </c>
      <c r="I21" s="306">
        <f t="shared" si="9"/>
        <v>3</v>
      </c>
      <c r="J21" s="306" t="str">
        <f t="shared" si="10"/>
        <v>:</v>
      </c>
      <c r="K21" s="297">
        <f t="shared" si="11"/>
        <v>34.400000000000006</v>
      </c>
      <c r="L21" s="306"/>
      <c r="M21" s="306"/>
      <c r="N21" s="376" t="str">
        <f t="shared" si="12"/>
        <v>DISQ</v>
      </c>
      <c r="O21" s="392">
        <f t="shared" si="1"/>
        <v>3</v>
      </c>
      <c r="P21" s="263" t="s">
        <v>80</v>
      </c>
      <c r="Q21" s="393">
        <v>46.3</v>
      </c>
      <c r="R21" s="379"/>
      <c r="S21" s="306"/>
      <c r="T21" s="377">
        <f t="shared" si="13"/>
        <v>35</v>
      </c>
      <c r="W21" s="403"/>
      <c r="X21" s="346">
        <f>VLOOKUP($B21,TempsF2Ce!$B$9:$AA$89,23)</f>
        <v>195</v>
      </c>
      <c r="Y21" s="346">
        <f>VLOOKUP($B21,TempsF2Ce!$B$9:$AA$89,24)</f>
        <v>214.4</v>
      </c>
      <c r="Z21" s="346">
        <f>VLOOKUP($B21,TempsF2Ce!$B$9:$AA$89,25)</f>
        <v>1000000</v>
      </c>
      <c r="AA21" s="180">
        <f t="shared" si="14"/>
        <v>195</v>
      </c>
      <c r="AB21" s="180">
        <f t="shared" si="15"/>
        <v>214.40000000002328</v>
      </c>
      <c r="AC21" s="180">
        <f t="shared" si="16"/>
        <v>1000000</v>
      </c>
      <c r="AD21" s="180">
        <f>IF($A21&gt;'Semi-Results'!$P$2,"",MIN($AE21,$AF21))</f>
        <v>226.3</v>
      </c>
      <c r="AE21" s="346">
        <f>IF($A21&gt;'Semi-Results'!$P$2,"",VLOOKUP($B21,'Semi-Results'!$B$9:$AA$100,23))</f>
        <v>226.3</v>
      </c>
      <c r="AF21" s="346">
        <f>IF($A21&gt;'Semi-Results'!$P$2,"",VLOOKUP($B21,'Semi-Results'!$B$9:$AA$100,24))</f>
        <v>9965</v>
      </c>
      <c r="AG21" s="180">
        <f>IF($A21&gt;'Semi-Results'!$P$2,($AA21+10000000),MIN($AE21,$AF21))</f>
        <v>226.3</v>
      </c>
      <c r="AH21" s="142">
        <f>IF($A21&gt;'Semi-Results'!$P$2,($AA21+10000000),MAX($AE21,$AF21))</f>
        <v>9965</v>
      </c>
      <c r="AI21" s="142">
        <f>IF($A21&gt;'Semi-Results'!$P$2,($AA21+10000000),$B21)</f>
        <v>24</v>
      </c>
      <c r="AJ21" s="142"/>
      <c r="AK21" s="346">
        <f>IF($A21&gt;'Semi-Results'!$P$2,"",VLOOKUP($B21,'Semi-Results'!$B$9:$AE$100,29))</f>
      </c>
      <c r="AL21" s="180">
        <f>IF($A21&gt;3,IF($A21&gt;'Semi-Results'!$P$2,MIN($X21:$Z21),MIN($AE21,$AF21)),$AK21)</f>
        <v>226.3</v>
      </c>
      <c r="AM21" s="180">
        <f>IF($A21&gt;3,IF($A21&gt;'Semi-Results'!$P$2,(SUM($X21:$Z21)-MAX($X21:$Z21)-MIN($X21:$Z21)),MAX($AE21,$AF21)),$AK21)</f>
        <v>9965</v>
      </c>
      <c r="AN21" s="180">
        <f>IF($A21&gt;3,IF($A21&gt;'Semi-Results'!$P$2,MAX($X21:$Z21),MAX($AE21,$AF21)),$AK21)</f>
        <v>9965</v>
      </c>
    </row>
    <row r="22" spans="1:40" ht="13.5">
      <c r="A22" s="229">
        <f t="shared" si="0"/>
        <v>14</v>
      </c>
      <c r="B22" s="320">
        <f>IF(($A22&gt;'Semi-Results'!$P$2),RésF2CeInd!B22,RésF2CsInd!B22)</f>
        <v>47</v>
      </c>
      <c r="C22" s="321" t="str">
        <f>VLOOKUP($B22,TempsF2Ce!$B$9:$N$89,2)</f>
        <v>ZHURAVLYOV V. / SOSNOVSKIY V.</v>
      </c>
      <c r="D22" s="322">
        <f>VLOOKUP($B22,TempsF2Ce!$B$9:$N$89,3)</f>
        <v>0</v>
      </c>
      <c r="E22" s="10" t="str">
        <f>VLOOKUP($B22,TempsF2Ce!$B$9:$N$89,4)</f>
        <v>UKR</v>
      </c>
      <c r="F22" s="350"/>
      <c r="G22" s="306"/>
      <c r="H22" s="373" t="str">
        <f t="shared" si="8"/>
        <v>DISQ</v>
      </c>
      <c r="I22" s="263">
        <f t="shared" si="9"/>
        <v>3</v>
      </c>
      <c r="J22" s="263" t="str">
        <f t="shared" si="10"/>
        <v>:</v>
      </c>
      <c r="K22" s="393">
        <f t="shared" si="11"/>
        <v>21.69999999999999</v>
      </c>
      <c r="L22" s="306">
        <f t="shared" si="17"/>
        <v>3</v>
      </c>
      <c r="M22" s="306" t="str">
        <f t="shared" si="18"/>
        <v>:</v>
      </c>
      <c r="N22" s="288">
        <f t="shared" si="12"/>
        <v>38.900000000000006</v>
      </c>
      <c r="O22" s="350"/>
      <c r="P22" s="306"/>
      <c r="Q22" s="373" t="str">
        <f>IF($AE22="","",IF($AE22=1000000,"DISQ",IF($AE22&gt;9000,10000-$AE22,$AE22-INT($AE22/60)*60)))</f>
        <v>DISQ</v>
      </c>
      <c r="R22" s="263">
        <f>IF($AF22="","",IF($AF22=1000000,"",IF($AF22=10000,0,IF($AF22&gt;9000,"",INT($AF22/60)))))</f>
        <v>4</v>
      </c>
      <c r="S22" s="263" t="str">
        <f>IF($AF22="","",IF($AF22=1000000,"",IF($AF22=10000,":",IF($AF22&gt;9000,"",":"))))</f>
        <v>:</v>
      </c>
      <c r="T22" s="391">
        <f t="shared" si="13"/>
        <v>15.300000000000011</v>
      </c>
      <c r="W22" s="403"/>
      <c r="X22" s="346">
        <f>VLOOKUP($B22,TempsF2Ce!$B$9:$AA$89,23)</f>
        <v>1000000</v>
      </c>
      <c r="Y22" s="346">
        <f>VLOOKUP($B22,TempsF2Ce!$B$9:$AA$89,24)</f>
        <v>201.7</v>
      </c>
      <c r="Z22" s="346">
        <f>VLOOKUP($B22,TempsF2Ce!$B$9:$AA$89,25)</f>
        <v>218.9</v>
      </c>
      <c r="AA22" s="180">
        <f t="shared" si="14"/>
        <v>201.7</v>
      </c>
      <c r="AB22" s="180">
        <f t="shared" si="15"/>
        <v>218.89999999997673</v>
      </c>
      <c r="AC22" s="180">
        <f t="shared" si="16"/>
        <v>1000000</v>
      </c>
      <c r="AD22" s="180">
        <f>IF($A22&gt;'Semi-Results'!$P$2,"",MIN($AE22,$AF22))</f>
        <v>255.3</v>
      </c>
      <c r="AE22" s="346">
        <f>IF($A22&gt;'Semi-Results'!$P$2,"",VLOOKUP($B22,'Semi-Results'!$B$9:$AA$100,23))</f>
        <v>1000000</v>
      </c>
      <c r="AF22" s="346">
        <f>IF($A22&gt;'Semi-Results'!$P$2,"",VLOOKUP($B22,'Semi-Results'!$B$9:$AA$100,24))</f>
        <v>255.3</v>
      </c>
      <c r="AG22" s="180">
        <f>IF($A22&gt;'Semi-Results'!$P$2,($AA22+10000000),MIN($AE22,$AF22))</f>
        <v>255.3</v>
      </c>
      <c r="AH22" s="142">
        <f>IF($A22&gt;'Semi-Results'!$P$2,($AA22+10000000),MAX($AE22,$AF22))</f>
        <v>1000000</v>
      </c>
      <c r="AI22" s="142">
        <f>IF($A22&gt;'Semi-Results'!$P$2,($AA22+10000000),$B22)</f>
        <v>47</v>
      </c>
      <c r="AJ22" s="142"/>
      <c r="AK22" s="346">
        <f>IF($A22&gt;'Semi-Results'!$P$2,"",VLOOKUP($B22,'Semi-Results'!$B$9:$AE$100,29))</f>
      </c>
      <c r="AL22" s="180">
        <f>IF($A22&gt;3,IF($A22&gt;'Semi-Results'!$P$2,MIN($X22:$Z22),MIN($AE22,$AF22)),$AK22)</f>
        <v>255.3</v>
      </c>
      <c r="AM22" s="180">
        <f>IF($A22&gt;3,IF($A22&gt;'Semi-Results'!$P$2,(SUM($X22:$Z22)-MAX($X22:$Z22)-MIN($X22:$Z22)),MAX($AE22,$AF22)),$AK22)</f>
        <v>1000000</v>
      </c>
      <c r="AN22" s="180">
        <f>IF($A22&gt;3,IF($A22&gt;'Semi-Results'!$P$2,MAX($X22:$Z22),MAX($AE22,$AF22)),$AK22)</f>
        <v>1000000</v>
      </c>
    </row>
    <row r="23" spans="1:40" ht="13.5">
      <c r="A23" s="229">
        <f t="shared" si="0"/>
        <v>15</v>
      </c>
      <c r="B23" s="320">
        <f>IF(($A23&gt;'Semi-Results'!$P$2),RésF2CeInd!B23,RésF2CsInd!B23)</f>
        <v>46</v>
      </c>
      <c r="C23" s="321" t="str">
        <f>VLOOKUP($B23,TempsF2Ce!$B$9:$N$89,2)</f>
        <v>BEZMERTNY Y. / FULITKA V.</v>
      </c>
      <c r="D23" s="322">
        <f>VLOOKUP($B23,TempsF2Ce!$B$9:$N$89,3)</f>
        <v>0</v>
      </c>
      <c r="E23" s="10" t="str">
        <f>VLOOKUP($B23,TempsF2Ce!$B$9:$N$89,4)</f>
        <v>UKR</v>
      </c>
      <c r="F23" s="392">
        <f t="shared" si="6"/>
        <v>3</v>
      </c>
      <c r="G23" s="263" t="str">
        <f t="shared" si="7"/>
        <v>:</v>
      </c>
      <c r="H23" s="393">
        <f t="shared" si="8"/>
        <v>24.69999999999999</v>
      </c>
      <c r="I23" s="306">
        <f t="shared" si="9"/>
        <v>3</v>
      </c>
      <c r="J23" s="306" t="str">
        <f t="shared" si="10"/>
        <v>:</v>
      </c>
      <c r="K23" s="297">
        <f t="shared" si="11"/>
        <v>29.69999999999999</v>
      </c>
      <c r="L23" s="306"/>
      <c r="M23" s="306"/>
      <c r="N23" s="376" t="str">
        <f t="shared" si="12"/>
        <v>DISQ</v>
      </c>
      <c r="O23" s="350"/>
      <c r="P23" s="306"/>
      <c r="Q23" s="401">
        <v>69</v>
      </c>
      <c r="R23" s="398"/>
      <c r="S23" s="399"/>
      <c r="T23" s="400">
        <f t="shared" si="13"/>
      </c>
      <c r="W23" s="403"/>
      <c r="X23" s="346">
        <f>VLOOKUP($B23,TempsF2Ce!$B$9:$AA$89,23)</f>
        <v>204.7</v>
      </c>
      <c r="Y23" s="346">
        <f>VLOOKUP($B23,TempsF2Ce!$B$9:$AA$89,24)</f>
        <v>209.7</v>
      </c>
      <c r="Z23" s="346">
        <f>VLOOKUP($B23,TempsF2Ce!$B$9:$AA$89,25)</f>
        <v>1000000</v>
      </c>
      <c r="AA23" s="180">
        <f t="shared" si="14"/>
        <v>204.7</v>
      </c>
      <c r="AB23" s="180">
        <f t="shared" si="15"/>
        <v>209.7000000000233</v>
      </c>
      <c r="AC23" s="180">
        <f t="shared" si="16"/>
        <v>1000000</v>
      </c>
      <c r="AD23" s="180">
        <f>IF($A23&gt;'Semi-Results'!$P$2,"",MIN($AE23,$AF23))</f>
        <v>9931</v>
      </c>
      <c r="AE23" s="346">
        <f>IF($A23&gt;'Semi-Results'!$P$2,"",VLOOKUP($B23,'Semi-Results'!$B$9:$AA$100,23))</f>
        <v>9931</v>
      </c>
      <c r="AF23" s="346">
        <f>IF($A23&gt;'Semi-Results'!$P$2,"",VLOOKUP($B23,'Semi-Results'!$B$9:$AA$100,24))</f>
      </c>
      <c r="AG23" s="180">
        <f>IF($A23&gt;'Semi-Results'!$P$2,($AA23+10000000),MIN($AE23,$AF23))</f>
        <v>9931</v>
      </c>
      <c r="AH23" s="142">
        <f>IF($A23&gt;'Semi-Results'!$P$2,($AA23+10000000),MAX($AE23,$AF23))</f>
        <v>9931</v>
      </c>
      <c r="AI23" s="142">
        <f>IF($A23&gt;'Semi-Results'!$P$2,($AA23+10000000),$B23)</f>
        <v>46</v>
      </c>
      <c r="AJ23" s="142"/>
      <c r="AK23" s="346">
        <f>IF($A23&gt;'Semi-Results'!$P$2,"",VLOOKUP($B23,'Semi-Results'!$B$9:$AE$100,29))</f>
        <v>0</v>
      </c>
      <c r="AL23" s="180">
        <f>IF($A23&gt;3,IF($A23&gt;'Semi-Results'!$P$2,MIN($X23:$Z23),MIN($AE23,$AF23)),$AK23)</f>
        <v>9931</v>
      </c>
      <c r="AM23" s="180">
        <f>IF($A23&gt;3,IF($A23&gt;'Semi-Results'!$P$2,(SUM($X23:$Z23)-MAX($X23:$Z23)-MIN($X23:$Z23)),MAX($AE23,$AF23)),$AK23)</f>
        <v>9931</v>
      </c>
      <c r="AN23" s="180">
        <f>IF($A23&gt;3,IF($A23&gt;'Semi-Results'!$P$2,MAX($X23:$Z23),MAX($AE23,$AF23)),$AK23)</f>
        <v>9931</v>
      </c>
    </row>
    <row r="24" spans="1:40" ht="13.5">
      <c r="A24" s="230">
        <f t="shared" si="0"/>
        <v>16</v>
      </c>
      <c r="B24" s="283">
        <f>IF(($A24&gt;'Semi-Results'!$P$2),RésF2CeInd!B24,RésF2CsInd!B24)</f>
        <v>1</v>
      </c>
      <c r="C24" s="233" t="str">
        <f>VLOOKUP($B24,TempsF2Ce!$B$9:$N$89,2)</f>
        <v>ANDREEV S. / SOBKO S.</v>
      </c>
      <c r="D24" s="284" t="str">
        <f>VLOOKUP($B24,TempsF2Ce!$B$9:$N$89,3)</f>
        <v>W/CH</v>
      </c>
      <c r="E24" s="230" t="str">
        <f>VLOOKUP($B24,TempsF2Ce!$B$9:$N$89,4)</f>
        <v>RUS</v>
      </c>
      <c r="F24" s="380">
        <f t="shared" si="6"/>
        <v>3</v>
      </c>
      <c r="G24" s="381" t="str">
        <f t="shared" si="7"/>
        <v>:</v>
      </c>
      <c r="H24" s="382">
        <f t="shared" si="8"/>
        <v>17.69999999999999</v>
      </c>
      <c r="I24" s="394">
        <f t="shared" si="9"/>
        <v>3</v>
      </c>
      <c r="J24" s="395" t="str">
        <f t="shared" si="10"/>
        <v>:</v>
      </c>
      <c r="K24" s="397">
        <f t="shared" si="11"/>
        <v>17.5</v>
      </c>
      <c r="L24" s="383">
        <f t="shared" si="17"/>
        <v>3</v>
      </c>
      <c r="M24" s="381" t="str">
        <f t="shared" si="18"/>
        <v>:</v>
      </c>
      <c r="N24" s="237">
        <f t="shared" si="12"/>
        <v>22.5</v>
      </c>
      <c r="O24" s="380"/>
      <c r="P24" s="381"/>
      <c r="Q24" s="385" t="str">
        <f>IF($AE24="","",IF($AE24=1000000,"DISQ",IF($AE24&gt;9000,10000-$AE24,$AE24-INT($AE24/60)*60)))</f>
        <v>DISQ</v>
      </c>
      <c r="R24" s="386"/>
      <c r="S24" s="381"/>
      <c r="T24" s="384" t="str">
        <f t="shared" si="13"/>
        <v>DISQ</v>
      </c>
      <c r="W24" s="403"/>
      <c r="X24" s="346">
        <f>VLOOKUP($B24,TempsF2Ce!$B$9:$AA$89,23)</f>
        <v>197.7</v>
      </c>
      <c r="Y24" s="346">
        <f>VLOOKUP($B24,TempsF2Ce!$B$9:$AA$89,24)</f>
        <v>197.5</v>
      </c>
      <c r="Z24" s="346">
        <f>VLOOKUP($B24,TempsF2Ce!$B$9:$AA$89,25)</f>
        <v>202.5</v>
      </c>
      <c r="AA24" s="180">
        <f t="shared" si="14"/>
        <v>197.5</v>
      </c>
      <c r="AB24" s="180">
        <f t="shared" si="15"/>
        <v>197.70000000000005</v>
      </c>
      <c r="AC24" s="180">
        <f t="shared" si="16"/>
        <v>202.5</v>
      </c>
      <c r="AD24" s="180">
        <f>IF($A24&gt;'Semi-Results'!$P$2,"",MIN($AE24,$AF24))</f>
        <v>1000000</v>
      </c>
      <c r="AE24" s="346">
        <f>IF($A24&gt;'Semi-Results'!$P$2,"",VLOOKUP($B24,'Semi-Results'!$B$9:$AA$100,23))</f>
        <v>1000000</v>
      </c>
      <c r="AF24" s="346">
        <f>IF($A24&gt;'Semi-Results'!$P$2,"",VLOOKUP($B24,'Semi-Results'!$B$9:$AA$100,24))</f>
        <v>1000000</v>
      </c>
      <c r="AG24" s="180">
        <f>IF($A24&gt;'Semi-Results'!$P$2,($AA24+10000000),MIN($AE24,$AF24))</f>
        <v>1000000</v>
      </c>
      <c r="AH24" s="142">
        <f>IF($A24&gt;'Semi-Results'!$P$2,($AA24+10000000),MAX($AE24,$AF24))</f>
        <v>1000000</v>
      </c>
      <c r="AI24" s="142">
        <f>IF($A24&gt;'Semi-Results'!$P$2,($AA24+10000000),$B24)</f>
        <v>1</v>
      </c>
      <c r="AJ24" s="142"/>
      <c r="AK24" s="346">
        <f>IF($A24&gt;'Semi-Results'!$P$2,"",VLOOKUP($B24,'Semi-Results'!$B$9:$AE$100,29))</f>
      </c>
      <c r="AL24" s="180">
        <f>IF($A24&gt;3,IF($A24&gt;'Semi-Results'!$P$2,MIN($X24:$Z24),MIN($AE24,$AF24)),$AK24)</f>
        <v>1000000</v>
      </c>
      <c r="AM24" s="180">
        <f>IF($A24&gt;3,IF($A24&gt;'Semi-Results'!$P$2,(SUM($X24:$Z24)-MAX($X24:$Z24)-MIN($X24:$Z24)),MAX($AE24,$AF24)),$AK24)</f>
        <v>1000000</v>
      </c>
      <c r="AN24" s="180">
        <f>IF($A24&gt;3,IF($A24&gt;'Semi-Results'!$P$2,MAX($X24:$Z24),MAX($AE24,$AF24)),$AK24)</f>
        <v>1000000</v>
      </c>
    </row>
    <row r="25" spans="1:40" ht="13.5">
      <c r="A25" s="229">
        <f t="shared" si="0"/>
        <v>17</v>
      </c>
      <c r="B25" s="320">
        <f>IF(($A25&gt;'Semi-Results'!$P$2),RésF2CeInd!B25,RésF2CsInd!B25)</f>
        <v>21</v>
      </c>
      <c r="C25" s="321" t="str">
        <f>VLOOKUP($B25,TempsF2Ce!$B$9:$N$89,2)</f>
        <v>SMITH S. / BROWN C.</v>
      </c>
      <c r="D25" s="322">
        <f>VLOOKUP($B25,TempsF2Ce!$B$9:$N$89,3)</f>
        <v>0</v>
      </c>
      <c r="E25" s="10" t="str">
        <f>VLOOKUP($B25,TempsF2Ce!$B$9:$N$89,4)</f>
        <v>GBR</v>
      </c>
      <c r="F25" s="392">
        <f t="shared" si="6"/>
        <v>3</v>
      </c>
      <c r="G25" s="263" t="str">
        <f t="shared" si="7"/>
        <v>:</v>
      </c>
      <c r="H25" s="393">
        <f t="shared" si="8"/>
        <v>25.900000000000006</v>
      </c>
      <c r="I25" s="306">
        <f t="shared" si="9"/>
        <v>3</v>
      </c>
      <c r="J25" s="306" t="str">
        <f t="shared" si="10"/>
        <v>:</v>
      </c>
      <c r="K25" s="297">
        <f t="shared" si="11"/>
        <v>31.900000000000006</v>
      </c>
      <c r="L25" s="306">
        <f t="shared" si="17"/>
        <v>3</v>
      </c>
      <c r="M25" s="306" t="str">
        <f t="shared" si="18"/>
        <v>:</v>
      </c>
      <c r="N25" s="288">
        <f t="shared" si="12"/>
        <v>26.5</v>
      </c>
      <c r="W25" s="403"/>
      <c r="X25" s="346">
        <f>VLOOKUP($B25,TempsF2Ce!$B$9:$AA$89,23)</f>
        <v>205.9</v>
      </c>
      <c r="Y25" s="346">
        <f>VLOOKUP($B25,TempsF2Ce!$B$9:$AA$89,24)</f>
        <v>211.9</v>
      </c>
      <c r="Z25" s="346">
        <f>VLOOKUP($B25,TempsF2Ce!$B$9:$AA$89,25)</f>
        <v>206.5</v>
      </c>
      <c r="AA25" s="180">
        <f t="shared" si="14"/>
        <v>205.9</v>
      </c>
      <c r="AB25" s="180">
        <f t="shared" si="15"/>
        <v>206.49999999999997</v>
      </c>
      <c r="AC25" s="180">
        <f t="shared" si="16"/>
        <v>211.9</v>
      </c>
      <c r="AD25" s="180">
        <f>IF($A25&gt;'Semi-Results'!$P$2,"",MIN($AE25,$AF25))</f>
      </c>
      <c r="AE25" s="346">
        <f>IF($A25&gt;'Semi-Results'!$P$2,"",VLOOKUP($B25,'Semi-Results'!$B$9:$AA$100,23))</f>
      </c>
      <c r="AF25" s="346">
        <f>IF($A25&gt;'Semi-Results'!$P$2,"",VLOOKUP($B25,'Semi-Results'!$B$9:$AA$100,24))</f>
      </c>
      <c r="AG25" s="180">
        <f>IF($A25&gt;'Semi-Results'!$P$2,($AA25+10000000),MIN($AE25,$AF25))</f>
        <v>10000205.9</v>
      </c>
      <c r="AH25" s="142">
        <f>IF($A25&gt;'Semi-Results'!$P$2,($AA25+10000000),MAX($AE25,$AF25))</f>
        <v>10000205.9</v>
      </c>
      <c r="AI25" s="142">
        <f>IF($A25&gt;'Semi-Results'!$P$2,($AA25+10000000),$B25)</f>
        <v>10000205.9</v>
      </c>
      <c r="AJ25" s="142"/>
      <c r="AK25" s="346">
        <f>IF($A25&gt;'Semi-Results'!$P$2,"",VLOOKUP($B25,'Semi-Results'!$B$9:$AE$100,29))</f>
      </c>
      <c r="AL25" s="180">
        <f>IF($A25&gt;3,IF($A25&gt;'Semi-Results'!$P$2,MIN($X25:$Z25),MIN($AE25,$AF25)),$AK25)</f>
        <v>205.9</v>
      </c>
      <c r="AM25" s="180">
        <f>IF($A25&gt;3,IF($A25&gt;'Semi-Results'!$P$2,(SUM($X25:$Z25)-MAX($X25:$Z25)-MIN($X25:$Z25)),MAX($AE25,$AF25)),$AK25)</f>
        <v>206.49999999999997</v>
      </c>
      <c r="AN25" s="180">
        <f>IF($A25&gt;3,IF($A25&gt;'Semi-Results'!$P$2,MAX($X25:$Z25),MAX($AE25,$AF25)),$AK25)</f>
        <v>211.9</v>
      </c>
    </row>
    <row r="26" spans="1:40" ht="13.5">
      <c r="A26" s="229">
        <f t="shared" si="0"/>
        <v>18</v>
      </c>
      <c r="B26" s="320">
        <f>IF(($A26&gt;'Semi-Results'!$P$2),RésF2CeInd!B26,RésF2CsInd!B26)</f>
        <v>7</v>
      </c>
      <c r="C26" s="321" t="str">
        <f>VLOOKUP($B26,TempsF2Ce!$B$9:$N$89,2)</f>
        <v>DESSAUCY L. / DESSAUCY J. </v>
      </c>
      <c r="D26" s="322">
        <f>VLOOKUP($B26,TempsF2Ce!$B$9:$N$89,3)</f>
        <v>0</v>
      </c>
      <c r="E26" s="10" t="str">
        <f>VLOOKUP($B26,TempsF2Ce!$B$9:$N$89,4)</f>
        <v>BEL</v>
      </c>
      <c r="F26" s="350">
        <f t="shared" si="6"/>
        <v>3</v>
      </c>
      <c r="G26" s="306" t="str">
        <f t="shared" si="7"/>
        <v>:</v>
      </c>
      <c r="H26" s="297">
        <f t="shared" si="8"/>
        <v>37.30000000000001</v>
      </c>
      <c r="I26" s="263">
        <f t="shared" si="9"/>
        <v>3</v>
      </c>
      <c r="J26" s="263" t="str">
        <f t="shared" si="10"/>
        <v>:</v>
      </c>
      <c r="K26" s="393">
        <f t="shared" si="11"/>
        <v>26.80000000000001</v>
      </c>
      <c r="L26" s="306">
        <f t="shared" si="17"/>
        <v>3</v>
      </c>
      <c r="M26" s="306" t="str">
        <f t="shared" si="18"/>
        <v>:</v>
      </c>
      <c r="N26" s="288">
        <f t="shared" si="12"/>
        <v>38</v>
      </c>
      <c r="W26" s="403"/>
      <c r="X26" s="346">
        <f>VLOOKUP($B26,TempsF2Ce!$B$9:$AA$89,23)</f>
        <v>217.3</v>
      </c>
      <c r="Y26" s="346">
        <f>VLOOKUP($B26,TempsF2Ce!$B$9:$AA$89,24)</f>
        <v>206.8</v>
      </c>
      <c r="Z26" s="346">
        <f>VLOOKUP($B26,TempsF2Ce!$B$9:$AA$89,25)</f>
        <v>218</v>
      </c>
      <c r="AA26" s="180">
        <f t="shared" si="14"/>
        <v>206.8</v>
      </c>
      <c r="AB26" s="180">
        <f t="shared" si="15"/>
        <v>217.3</v>
      </c>
      <c r="AC26" s="180">
        <f t="shared" si="16"/>
        <v>218</v>
      </c>
      <c r="AD26" s="180">
        <f>IF($A26&gt;'Semi-Results'!$P$2,"",MIN($AE26,$AF26))</f>
      </c>
      <c r="AE26" s="346">
        <f>IF($A26&gt;'Semi-Results'!$P$2,"",VLOOKUP($B26,'Semi-Results'!$B$9:$AA$100,23))</f>
      </c>
      <c r="AF26" s="346">
        <f>IF($A26&gt;'Semi-Results'!$P$2,"",VLOOKUP($B26,'Semi-Results'!$B$9:$AA$100,24))</f>
      </c>
      <c r="AG26" s="180">
        <f>IF($A26&gt;'Semi-Results'!$P$2,($AA26+10000000),MIN($AE26,$AF26))</f>
        <v>10000206.8</v>
      </c>
      <c r="AH26" s="142">
        <f>IF($A26&gt;'Semi-Results'!$P$2,($AA26+10000000),MAX($AE26,$AF26))</f>
        <v>10000206.8</v>
      </c>
      <c r="AI26" s="142">
        <f>IF($A26&gt;'Semi-Results'!$P$2,($AA26+10000000),$B26)</f>
        <v>10000206.8</v>
      </c>
      <c r="AJ26" s="142"/>
      <c r="AK26" s="346">
        <f>IF($A26&gt;'Semi-Results'!$P$2,"",VLOOKUP($B26,'Semi-Results'!$B$9:$AE$100,29))</f>
      </c>
      <c r="AL26" s="180">
        <f>IF($A26&gt;3,IF($A26&gt;'Semi-Results'!$P$2,MIN($X26:$Z26),MIN($AE26,$AF26)),$AK26)</f>
        <v>206.8</v>
      </c>
      <c r="AM26" s="180">
        <f>IF($A26&gt;3,IF($A26&gt;'Semi-Results'!$P$2,(SUM($X26:$Z26)-MAX($X26:$Z26)-MIN($X26:$Z26)),MAX($AE26,$AF26)),$AK26)</f>
        <v>217.3</v>
      </c>
      <c r="AN26" s="180">
        <f>IF($A26&gt;3,IF($A26&gt;'Semi-Results'!$P$2,MAX($X26:$Z26),MAX($AE26,$AF26)),$AK26)</f>
        <v>218</v>
      </c>
    </row>
    <row r="27" spans="1:40" ht="13.5">
      <c r="A27" s="229">
        <f t="shared" si="0"/>
        <v>19</v>
      </c>
      <c r="B27" s="320">
        <f>IF(($A27&gt;'Semi-Results'!$P$2),RésF2CeInd!B27,RésF2CsInd!B27)</f>
        <v>28</v>
      </c>
      <c r="C27" s="321" t="str">
        <f>VLOOKUP($B27,TempsF2Ce!$B$9:$N$89,2)</f>
        <v>VENDEL Micha / METKEMEIJER R.</v>
      </c>
      <c r="D27" s="322">
        <f>VLOOKUP($B27,TempsF2Ce!$B$9:$N$89,3)</f>
        <v>0</v>
      </c>
      <c r="E27" s="10" t="str">
        <f>VLOOKUP($B27,TempsF2Ce!$B$9:$N$89,4)</f>
        <v>NED</v>
      </c>
      <c r="F27" s="350">
        <f t="shared" si="6"/>
        <v>3</v>
      </c>
      <c r="G27" s="306" t="str">
        <f t="shared" si="7"/>
        <v>:</v>
      </c>
      <c r="H27" s="297">
        <f t="shared" si="8"/>
        <v>40.19999999999999</v>
      </c>
      <c r="I27" s="306"/>
      <c r="J27" s="306"/>
      <c r="K27" s="373" t="str">
        <f t="shared" si="11"/>
        <v>DISQ</v>
      </c>
      <c r="L27" s="263">
        <f t="shared" si="17"/>
        <v>3</v>
      </c>
      <c r="M27" s="263" t="str">
        <f t="shared" si="18"/>
        <v>:</v>
      </c>
      <c r="N27" s="391">
        <f t="shared" si="12"/>
        <v>27.30000000000001</v>
      </c>
      <c r="W27" s="403"/>
      <c r="X27" s="346">
        <f>VLOOKUP($B27,TempsF2Ce!$B$9:$AA$89,23)</f>
        <v>220.2</v>
      </c>
      <c r="Y27" s="346">
        <f>VLOOKUP($B27,TempsF2Ce!$B$9:$AA$89,24)</f>
        <v>1000000</v>
      </c>
      <c r="Z27" s="346">
        <f>VLOOKUP($B27,TempsF2Ce!$B$9:$AA$89,25)</f>
        <v>207.3</v>
      </c>
      <c r="AA27" s="180">
        <f t="shared" si="14"/>
        <v>207.3</v>
      </c>
      <c r="AB27" s="180">
        <f t="shared" si="15"/>
        <v>220.2</v>
      </c>
      <c r="AC27" s="180">
        <f t="shared" si="16"/>
        <v>1000000</v>
      </c>
      <c r="AD27" s="180">
        <f>IF($A27&gt;'Semi-Results'!$P$2,"",MIN($AE27,$AF27))</f>
      </c>
      <c r="AE27" s="346">
        <f>IF($A27&gt;'Semi-Results'!$P$2,"",VLOOKUP($B27,'Semi-Results'!$B$9:$AA$100,23))</f>
      </c>
      <c r="AF27" s="346">
        <f>IF($A27&gt;'Semi-Results'!$P$2,"",VLOOKUP($B27,'Semi-Results'!$B$9:$AA$100,24))</f>
      </c>
      <c r="AG27" s="180">
        <f>IF($A27&gt;'Semi-Results'!$P$2,($AA27+10000000),MIN($AE27,$AF27))</f>
        <v>10000207.3</v>
      </c>
      <c r="AH27" s="142">
        <f>IF($A27&gt;'Semi-Results'!$P$2,($AA27+10000000),MAX($AE27,$AF27))</f>
        <v>10000207.3</v>
      </c>
      <c r="AI27" s="142">
        <f>IF($A27&gt;'Semi-Results'!$P$2,($AA27+10000000),$B27)</f>
        <v>10000207.3</v>
      </c>
      <c r="AJ27" s="142"/>
      <c r="AK27" s="346">
        <f>IF($A27&gt;'Semi-Results'!$P$2,"",VLOOKUP($B27,'Semi-Results'!$B$9:$AE$100,29))</f>
      </c>
      <c r="AL27" s="180">
        <f>IF($A27&gt;3,IF($A27&gt;'Semi-Results'!$P$2,MIN($X27:$Z27),MIN($AE27,$AF27)),$AK27)</f>
        <v>207.3</v>
      </c>
      <c r="AM27" s="180">
        <f>IF($A27&gt;3,IF($A27&gt;'Semi-Results'!$P$2,(SUM($X27:$Z27)-MAX($X27:$Z27)-MIN($X27:$Z27)),MAX($AE27,$AF27)),$AK27)</f>
        <v>220.2</v>
      </c>
      <c r="AN27" s="180">
        <f>IF($A27&gt;3,IF($A27&gt;'Semi-Results'!$P$2,MAX($X27:$Z27),MAX($AE27,$AF27)),$AK27)</f>
        <v>1000000</v>
      </c>
    </row>
    <row r="28" spans="1:40" ht="13.5">
      <c r="A28" s="229">
        <f t="shared" si="0"/>
        <v>20</v>
      </c>
      <c r="B28" s="320">
        <f>IF(($A28&gt;'Semi-Results'!$P$2),RésF2CeInd!B28,RésF2CsInd!B28)</f>
        <v>11</v>
      </c>
      <c r="C28" s="321" t="str">
        <f>VLOOKUP($B28,TempsF2Ce!$B$9:$N$89,2)</f>
        <v>CRESPI M. / CRESPI P.</v>
      </c>
      <c r="D28" s="322">
        <f>VLOOKUP($B28,TempsF2Ce!$B$9:$N$89,3)</f>
        <v>0</v>
      </c>
      <c r="E28" s="10" t="str">
        <f>VLOOKUP($B28,TempsF2Ce!$B$9:$N$89,4)</f>
        <v>ESP</v>
      </c>
      <c r="F28" s="350"/>
      <c r="G28" s="306"/>
      <c r="H28" s="373" t="str">
        <f t="shared" si="8"/>
        <v>DISQ</v>
      </c>
      <c r="I28" s="263">
        <f t="shared" si="9"/>
        <v>3</v>
      </c>
      <c r="J28" s="263" t="str">
        <f t="shared" si="10"/>
        <v>:</v>
      </c>
      <c r="K28" s="393">
        <f t="shared" si="11"/>
        <v>27.400000000000006</v>
      </c>
      <c r="L28" s="306"/>
      <c r="M28" s="306"/>
      <c r="N28" s="376" t="str">
        <f t="shared" si="12"/>
        <v>DISQ</v>
      </c>
      <c r="W28" s="403"/>
      <c r="X28" s="346">
        <f>VLOOKUP($B28,TempsF2Ce!$B$9:$AA$89,23)</f>
        <v>1000000</v>
      </c>
      <c r="Y28" s="346">
        <f>VLOOKUP($B28,TempsF2Ce!$B$9:$AA$89,24)</f>
        <v>207.4</v>
      </c>
      <c r="Z28" s="346">
        <f>VLOOKUP($B28,TempsF2Ce!$B$9:$AA$89,25)</f>
        <v>1000000</v>
      </c>
      <c r="AA28" s="180">
        <f t="shared" si="14"/>
        <v>207.4</v>
      </c>
      <c r="AB28" s="180">
        <f t="shared" si="15"/>
        <v>999999.9999999999</v>
      </c>
      <c r="AC28" s="180">
        <f t="shared" si="16"/>
        <v>1000000</v>
      </c>
      <c r="AD28" s="180">
        <f>IF($A28&gt;'Semi-Results'!$P$2,"",MIN($AE28,$AF28))</f>
      </c>
      <c r="AE28" s="346">
        <f>IF($A28&gt;'Semi-Results'!$P$2,"",VLOOKUP($B28,'Semi-Results'!$B$9:$AA$100,23))</f>
      </c>
      <c r="AF28" s="346">
        <f>IF($A28&gt;'Semi-Results'!$P$2,"",VLOOKUP($B28,'Semi-Results'!$B$9:$AA$100,24))</f>
      </c>
      <c r="AG28" s="180">
        <f>IF($A28&gt;'Semi-Results'!$P$2,($AA28+10000000),MIN($AE28,$AF28))</f>
        <v>10000207.4</v>
      </c>
      <c r="AH28" s="142">
        <f>IF($A28&gt;'Semi-Results'!$P$2,($AA28+10000000),MAX($AE28,$AF28))</f>
        <v>10000207.4</v>
      </c>
      <c r="AI28" s="142">
        <f>IF($A28&gt;'Semi-Results'!$P$2,($AA28+10000000),$B28)</f>
        <v>10000207.4</v>
      </c>
      <c r="AJ28" s="142"/>
      <c r="AK28" s="346">
        <f>IF($A28&gt;'Semi-Results'!$P$2,"",VLOOKUP($B28,'Semi-Results'!$B$9:$AE$100,29))</f>
      </c>
      <c r="AL28" s="180">
        <f>IF($A28&gt;3,IF($A28&gt;'Semi-Results'!$P$2,MIN($X28:$Z28),MIN($AE28,$AF28)),$AK28)</f>
        <v>207.4</v>
      </c>
      <c r="AM28" s="180">
        <f>IF($A28&gt;3,IF($A28&gt;'Semi-Results'!$P$2,(SUM($X28:$Z28)-MAX($X28:$Z28)-MIN($X28:$Z28)),MAX($AE28,$AF28)),$AK28)</f>
        <v>999999.9999999999</v>
      </c>
      <c r="AN28" s="180">
        <f>IF($A28&gt;3,IF($A28&gt;'Semi-Results'!$P$2,MAX($X28:$Z28),MAX($AE28,$AF28)),$AK28)</f>
        <v>1000000</v>
      </c>
    </row>
    <row r="29" spans="1:40" ht="13.5">
      <c r="A29" s="229">
        <f t="shared" si="0"/>
        <v>21</v>
      </c>
      <c r="B29" s="320">
        <f>IF(($A29&gt;'Semi-Results'!$P$2),RésF2CeInd!B29,RésF2CsInd!B29)</f>
        <v>42</v>
      </c>
      <c r="C29" s="321" t="str">
        <f>VLOOKUP($B29,TempsF2Ce!$B$9:$N$89,2)</f>
        <v>BORER H. / SACCAVINO C.</v>
      </c>
      <c r="D29" s="322">
        <f>VLOOKUP($B29,TempsF2Ce!$B$9:$N$89,3)</f>
        <v>0</v>
      </c>
      <c r="E29" s="10" t="str">
        <f>VLOOKUP($B29,TempsF2Ce!$B$9:$N$89,4)</f>
        <v>SUI</v>
      </c>
      <c r="F29" s="350"/>
      <c r="G29" s="306"/>
      <c r="H29" s="373" t="str">
        <f t="shared" si="8"/>
        <v>DISQ</v>
      </c>
      <c r="I29" s="263">
        <f t="shared" si="9"/>
        <v>3</v>
      </c>
      <c r="J29" s="263" t="str">
        <f t="shared" si="10"/>
        <v>:</v>
      </c>
      <c r="K29" s="393">
        <f t="shared" si="11"/>
        <v>27.69999999999999</v>
      </c>
      <c r="L29" s="306"/>
      <c r="M29" s="306"/>
      <c r="N29" s="377">
        <f t="shared" si="12"/>
        <v>22</v>
      </c>
      <c r="W29" s="403"/>
      <c r="X29" s="346">
        <f>VLOOKUP($B29,TempsF2Ce!$B$9:$AA$89,23)</f>
        <v>1000000</v>
      </c>
      <c r="Y29" s="346">
        <f>VLOOKUP($B29,TempsF2Ce!$B$9:$AA$89,24)</f>
        <v>207.7</v>
      </c>
      <c r="Z29" s="346">
        <f>VLOOKUP($B29,TempsF2Ce!$B$9:$AA$89,25)</f>
        <v>9978</v>
      </c>
      <c r="AA29" s="180">
        <f t="shared" si="14"/>
        <v>207.7</v>
      </c>
      <c r="AB29" s="180">
        <f t="shared" si="15"/>
        <v>9977.999999999953</v>
      </c>
      <c r="AC29" s="180">
        <f t="shared" si="16"/>
        <v>1000000</v>
      </c>
      <c r="AD29" s="180">
        <f>IF($A29&gt;'Semi-Results'!$P$2,"",MIN($AE29,$AF29))</f>
      </c>
      <c r="AE29" s="346">
        <f>IF($A29&gt;'Semi-Results'!$P$2,"",VLOOKUP($B29,'Semi-Results'!$B$9:$AA$100,23))</f>
      </c>
      <c r="AF29" s="346">
        <f>IF($A29&gt;'Semi-Results'!$P$2,"",VLOOKUP($B29,'Semi-Results'!$B$9:$AA$100,24))</f>
      </c>
      <c r="AG29" s="180">
        <f>IF($A29&gt;'Semi-Results'!$P$2,($AA29+10000000),MIN($AE29,$AF29))</f>
        <v>10000207.7</v>
      </c>
      <c r="AH29" s="142">
        <f>IF($A29&gt;'Semi-Results'!$P$2,($AA29+10000000),MAX($AE29,$AF29))</f>
        <v>10000207.7</v>
      </c>
      <c r="AI29" s="142">
        <f>IF($A29&gt;'Semi-Results'!$P$2,($AA29+10000000),$B29)</f>
        <v>10000207.7</v>
      </c>
      <c r="AJ29" s="142"/>
      <c r="AK29" s="346">
        <f>IF($A29&gt;'Semi-Results'!$P$2,"",VLOOKUP($B29,'Semi-Results'!$B$9:$AE$100,29))</f>
      </c>
      <c r="AL29" s="180">
        <f>IF($A29&gt;3,IF($A29&gt;'Semi-Results'!$P$2,MIN($X29:$Z29),MIN($AE29,$AF29)),$AK29)</f>
        <v>207.7</v>
      </c>
      <c r="AM29" s="180">
        <f>IF($A29&gt;3,IF($A29&gt;'Semi-Results'!$P$2,(SUM($X29:$Z29)-MAX($X29:$Z29)-MIN($X29:$Z29)),MAX($AE29,$AF29)),$AK29)</f>
        <v>9977.999999999953</v>
      </c>
      <c r="AN29" s="180">
        <f>IF($A29&gt;3,IF($A29&gt;'Semi-Results'!$P$2,MAX($X29:$Z29),MAX($AE29,$AF29)),$AK29)</f>
        <v>1000000</v>
      </c>
    </row>
    <row r="30" spans="1:40" ht="13.5">
      <c r="A30" s="229">
        <f t="shared" si="0"/>
        <v>22</v>
      </c>
      <c r="B30" s="320">
        <f>IF(($A30&gt;'Semi-Results'!$P$2),RésF2CeInd!B30,RésF2CsInd!B30)</f>
        <v>2</v>
      </c>
      <c r="C30" s="321" t="str">
        <f>VLOOKUP($B30,TempsF2Ce!$B$9:$N$89,2)</f>
        <v>CAMERON P. / FITZGERALD R.</v>
      </c>
      <c r="D30" s="322">
        <f>VLOOKUP($B30,TempsF2Ce!$B$9:$N$89,3)</f>
        <v>0</v>
      </c>
      <c r="E30" s="10" t="str">
        <f>VLOOKUP($B30,TempsF2Ce!$B$9:$N$89,4)</f>
        <v>AUS</v>
      </c>
      <c r="F30" s="350">
        <f t="shared" si="6"/>
        <v>3</v>
      </c>
      <c r="G30" s="306" t="str">
        <f t="shared" si="7"/>
        <v>:</v>
      </c>
      <c r="H30" s="297">
        <f t="shared" si="8"/>
        <v>32.19999999999999</v>
      </c>
      <c r="I30" s="306">
        <f t="shared" si="9"/>
        <v>3</v>
      </c>
      <c r="J30" s="306" t="str">
        <f t="shared" si="10"/>
        <v>:</v>
      </c>
      <c r="K30" s="297">
        <f t="shared" si="11"/>
        <v>44.5</v>
      </c>
      <c r="L30" s="263">
        <f t="shared" si="17"/>
        <v>3</v>
      </c>
      <c r="M30" s="263" t="str">
        <f t="shared" si="18"/>
        <v>:</v>
      </c>
      <c r="N30" s="391">
        <f t="shared" si="12"/>
        <v>28.599999999999994</v>
      </c>
      <c r="W30" s="403"/>
      <c r="X30" s="346">
        <f>VLOOKUP($B30,TempsF2Ce!$B$9:$AA$89,23)</f>
        <v>212.2</v>
      </c>
      <c r="Y30" s="346">
        <f>VLOOKUP($B30,TempsF2Ce!$B$9:$AA$89,24)</f>
        <v>224.5</v>
      </c>
      <c r="Z30" s="346">
        <f>VLOOKUP($B30,TempsF2Ce!$B$9:$AA$89,25)</f>
        <v>208.6</v>
      </c>
      <c r="AA30" s="180">
        <f t="shared" si="14"/>
        <v>208.6</v>
      </c>
      <c r="AB30" s="180">
        <f t="shared" si="15"/>
        <v>212.19999999999996</v>
      </c>
      <c r="AC30" s="180">
        <f t="shared" si="16"/>
        <v>224.5</v>
      </c>
      <c r="AD30" s="180">
        <f>IF($A30&gt;'Semi-Results'!$P$2,"",MIN($AE30,$AF30))</f>
      </c>
      <c r="AE30" s="346">
        <f>IF($A30&gt;'Semi-Results'!$P$2,"",VLOOKUP($B30,'Semi-Results'!$B$9:$AA$100,23))</f>
      </c>
      <c r="AF30" s="346">
        <f>IF($A30&gt;'Semi-Results'!$P$2,"",VLOOKUP($B30,'Semi-Results'!$B$9:$AA$100,24))</f>
      </c>
      <c r="AG30" s="180">
        <f>IF($A30&gt;'Semi-Results'!$P$2,($AA30+10000000),MIN($AE30,$AF30))</f>
        <v>10000208.6</v>
      </c>
      <c r="AH30" s="142">
        <f>IF($A30&gt;'Semi-Results'!$P$2,($AA30+10000000),MAX($AE30,$AF30))</f>
        <v>10000208.6</v>
      </c>
      <c r="AI30" s="142">
        <f>IF($A30&gt;'Semi-Results'!$P$2,($AA30+10000000),$B30)</f>
        <v>10000208.6</v>
      </c>
      <c r="AJ30" s="142"/>
      <c r="AK30" s="346">
        <f>IF($A30&gt;'Semi-Results'!$P$2,"",VLOOKUP($B30,'Semi-Results'!$B$9:$AE$100,29))</f>
      </c>
      <c r="AL30" s="180">
        <f>IF($A30&gt;3,IF($A30&gt;'Semi-Results'!$P$2,MIN($X30:$Z30),MIN($AE30,$AF30)),$AK30)</f>
        <v>208.6</v>
      </c>
      <c r="AM30" s="180">
        <f>IF($A30&gt;3,IF($A30&gt;'Semi-Results'!$P$2,(SUM($X30:$Z30)-MAX($X30:$Z30)-MIN($X30:$Z30)),MAX($AE30,$AF30)),$AK30)</f>
        <v>212.19999999999996</v>
      </c>
      <c r="AN30" s="180">
        <f>IF($A30&gt;3,IF($A30&gt;'Semi-Results'!$P$2,MAX($X30:$Z30),MAX($AE30,$AF30)),$AK30)</f>
        <v>224.5</v>
      </c>
    </row>
    <row r="31" spans="1:40" ht="13.5">
      <c r="A31" s="229">
        <f t="shared" si="0"/>
        <v>23</v>
      </c>
      <c r="B31" s="320">
        <f>IF(($A31&gt;'Semi-Results'!$P$2),RésF2CeInd!B31,RésF2CsInd!B31)</f>
        <v>20</v>
      </c>
      <c r="C31" s="321" t="str">
        <f>VLOOKUP($B31,TempsF2Ce!$B$9:$N$89,2)</f>
        <v>LANGWORTH B. / CAMPBELL D.</v>
      </c>
      <c r="D31" s="322">
        <f>VLOOKUP($B31,TempsF2Ce!$B$9:$N$89,3)</f>
        <v>0</v>
      </c>
      <c r="E31" s="10" t="str">
        <f>VLOOKUP($B31,TempsF2Ce!$B$9:$N$89,4)</f>
        <v>GBR</v>
      </c>
      <c r="F31" s="392">
        <f t="shared" si="6"/>
        <v>3</v>
      </c>
      <c r="G31" s="263" t="str">
        <f t="shared" si="7"/>
        <v>:</v>
      </c>
      <c r="H31" s="393">
        <f t="shared" si="8"/>
        <v>28.80000000000001</v>
      </c>
      <c r="I31" s="306"/>
      <c r="J31" s="306"/>
      <c r="K31" s="373" t="str">
        <f t="shared" si="11"/>
        <v>DISQ</v>
      </c>
      <c r="L31" s="306">
        <f t="shared" si="17"/>
        <v>3</v>
      </c>
      <c r="M31" s="306" t="str">
        <f t="shared" si="18"/>
        <v>:</v>
      </c>
      <c r="N31" s="288">
        <f t="shared" si="12"/>
        <v>55</v>
      </c>
      <c r="W31" s="403"/>
      <c r="X31" s="346">
        <f>VLOOKUP($B31,TempsF2Ce!$B$9:$AA$89,23)</f>
        <v>208.8</v>
      </c>
      <c r="Y31" s="346">
        <f>VLOOKUP($B31,TempsF2Ce!$B$9:$AA$89,24)</f>
        <v>1000000</v>
      </c>
      <c r="Z31" s="346">
        <f>VLOOKUP($B31,TempsF2Ce!$B$9:$AA$89,25)</f>
        <v>235</v>
      </c>
      <c r="AA31" s="180">
        <f t="shared" si="14"/>
        <v>208.8</v>
      </c>
      <c r="AB31" s="180">
        <f t="shared" si="15"/>
        <v>235.00000000004655</v>
      </c>
      <c r="AC31" s="180">
        <f t="shared" si="16"/>
        <v>1000000</v>
      </c>
      <c r="AD31" s="180">
        <f>IF($A31&gt;'Semi-Results'!$P$2,"",MIN($AE31,$AF31))</f>
      </c>
      <c r="AE31" s="346">
        <f>IF($A31&gt;'Semi-Results'!$P$2,"",VLOOKUP($B31,'Semi-Results'!$B$9:$AA$100,23))</f>
      </c>
      <c r="AF31" s="346">
        <f>IF($A31&gt;'Semi-Results'!$P$2,"",VLOOKUP($B31,'Semi-Results'!$B$9:$AA$100,24))</f>
      </c>
      <c r="AG31" s="180">
        <f>IF($A31&gt;'Semi-Results'!$P$2,($AA31+10000000),MIN($AE31,$AF31))</f>
        <v>10000208.8</v>
      </c>
      <c r="AH31" s="142">
        <f>IF($A31&gt;'Semi-Results'!$P$2,($AA31+10000000),MAX($AE31,$AF31))</f>
        <v>10000208.8</v>
      </c>
      <c r="AI31" s="142">
        <f>IF($A31&gt;'Semi-Results'!$P$2,($AA31+10000000),$B31)</f>
        <v>10000208.8</v>
      </c>
      <c r="AJ31" s="142"/>
      <c r="AK31" s="346">
        <f>IF($A31&gt;'Semi-Results'!$P$2,"",VLOOKUP($B31,'Semi-Results'!$B$9:$AE$100,29))</f>
      </c>
      <c r="AL31" s="180">
        <f>IF($A31&gt;3,IF($A31&gt;'Semi-Results'!$P$2,MIN($X31:$Z31),MIN($AE31,$AF31)),$AK31)</f>
        <v>208.8</v>
      </c>
      <c r="AM31" s="180">
        <f>IF($A31&gt;3,IF($A31&gt;'Semi-Results'!$P$2,(SUM($X31:$Z31)-MAX($X31:$Z31)-MIN($X31:$Z31)),MAX($AE31,$AF31)),$AK31)</f>
        <v>235.00000000004655</v>
      </c>
      <c r="AN31" s="180">
        <f>IF($A31&gt;3,IF($A31&gt;'Semi-Results'!$P$2,MAX($X31:$Z31),MAX($AE31,$AF31)),$AK31)</f>
        <v>1000000</v>
      </c>
    </row>
    <row r="32" spans="1:40" ht="13.5">
      <c r="A32" s="229">
        <f t="shared" si="0"/>
        <v>24</v>
      </c>
      <c r="B32" s="320">
        <f>IF(($A32&gt;'Semi-Results'!$P$2),RésF2CeInd!B32,RésF2CsInd!B32)</f>
        <v>41</v>
      </c>
      <c r="C32" s="321" t="str">
        <f>VLOOKUP($B32,TempsF2Ce!$B$9:$N$89,2)</f>
        <v>GUSTAFSSON J. / BJÖHOLM S.</v>
      </c>
      <c r="D32" s="322">
        <f>VLOOKUP($B32,TempsF2Ce!$B$9:$N$89,3)</f>
        <v>0</v>
      </c>
      <c r="E32" s="10" t="str">
        <f>VLOOKUP($B32,TempsF2Ce!$B$9:$N$89,4)</f>
        <v>SWE</v>
      </c>
      <c r="F32" s="350">
        <f t="shared" si="6"/>
        <v>3</v>
      </c>
      <c r="G32" s="306" t="str">
        <f t="shared" si="7"/>
        <v>:</v>
      </c>
      <c r="H32" s="297">
        <f t="shared" si="8"/>
        <v>59.5</v>
      </c>
      <c r="I32" s="306">
        <f t="shared" si="9"/>
        <v>3</v>
      </c>
      <c r="J32" s="306" t="str">
        <f t="shared" si="10"/>
        <v>:</v>
      </c>
      <c r="K32" s="297">
        <f t="shared" si="11"/>
        <v>34.599999999999994</v>
      </c>
      <c r="L32" s="263">
        <f t="shared" si="17"/>
        <v>3</v>
      </c>
      <c r="M32" s="263" t="str">
        <f t="shared" si="18"/>
        <v>:</v>
      </c>
      <c r="N32" s="391">
        <f t="shared" si="12"/>
        <v>29.30000000000001</v>
      </c>
      <c r="W32" s="403"/>
      <c r="X32" s="346">
        <f>VLOOKUP($B32,TempsF2Ce!$B$9:$AA$89,23)</f>
        <v>239.5</v>
      </c>
      <c r="Y32" s="346">
        <f>VLOOKUP($B32,TempsF2Ce!$B$9:$AA$89,24)</f>
        <v>214.6</v>
      </c>
      <c r="Z32" s="346">
        <f>VLOOKUP($B32,TempsF2Ce!$B$9:$AA$89,25)</f>
        <v>209.3</v>
      </c>
      <c r="AA32" s="180">
        <f t="shared" si="14"/>
        <v>209.3</v>
      </c>
      <c r="AB32" s="180">
        <f t="shared" si="15"/>
        <v>214.60000000000008</v>
      </c>
      <c r="AC32" s="180">
        <f t="shared" si="16"/>
        <v>239.5</v>
      </c>
      <c r="AD32" s="180">
        <f>IF($A32&gt;'Semi-Results'!$P$2,"",MIN($AE32,$AF32))</f>
      </c>
      <c r="AE32" s="346">
        <f>IF($A32&gt;'Semi-Results'!$P$2,"",VLOOKUP($B32,'Semi-Results'!$B$9:$AA$100,23))</f>
      </c>
      <c r="AF32" s="346">
        <f>IF($A32&gt;'Semi-Results'!$P$2,"",VLOOKUP($B32,'Semi-Results'!$B$9:$AA$100,24))</f>
      </c>
      <c r="AG32" s="180">
        <f>IF($A32&gt;'Semi-Results'!$P$2,($AA32+10000000),MIN($AE32,$AF32))</f>
        <v>10000209.3</v>
      </c>
      <c r="AH32" s="142">
        <f>IF($A32&gt;'Semi-Results'!$P$2,($AA32+10000000),MAX($AE32,$AF32))</f>
        <v>10000209.3</v>
      </c>
      <c r="AI32" s="142">
        <f>IF($A32&gt;'Semi-Results'!$P$2,($AA32+10000000),$B32)</f>
        <v>10000209.3</v>
      </c>
      <c r="AJ32" s="142"/>
      <c r="AK32" s="346">
        <f>IF($A32&gt;'Semi-Results'!$P$2,"",VLOOKUP($B32,'Semi-Results'!$B$9:$AE$100,29))</f>
      </c>
      <c r="AL32" s="180">
        <f>IF($A32&gt;3,IF($A32&gt;'Semi-Results'!$P$2,MIN($X32:$Z32),MIN($AE32,$AF32)),$AK32)</f>
        <v>209.3</v>
      </c>
      <c r="AM32" s="180">
        <f>IF($A32&gt;3,IF($A32&gt;'Semi-Results'!$P$2,(SUM($X32:$Z32)-MAX($X32:$Z32)-MIN($X32:$Z32)),MAX($AE32,$AF32)),$AK32)</f>
        <v>214.60000000000008</v>
      </c>
      <c r="AN32" s="180">
        <f>IF($A32&gt;3,IF($A32&gt;'Semi-Results'!$P$2,MAX($X32:$Z32),MAX($AE32,$AF32)),$AK32)</f>
        <v>239.5</v>
      </c>
    </row>
    <row r="33" spans="1:40" ht="13.5">
      <c r="A33" s="229">
        <f t="shared" si="0"/>
        <v>25</v>
      </c>
      <c r="B33" s="320">
        <f>IF(($A33&gt;'Semi-Results'!$P$2),RésF2CeInd!B33,RésF2CsInd!B33)</f>
        <v>43</v>
      </c>
      <c r="C33" s="321" t="str">
        <f>VLOOKUP($B33,TempsF2Ce!$B$9:$N$89,2)</f>
        <v>MUELLER R. / SACCAVINO V.</v>
      </c>
      <c r="D33" s="322">
        <f>VLOOKUP($B33,TempsF2Ce!$B$9:$N$89,3)</f>
        <v>0</v>
      </c>
      <c r="E33" s="10" t="str">
        <f>VLOOKUP($B33,TempsF2Ce!$B$9:$N$89,4)</f>
        <v>SUI</v>
      </c>
      <c r="F33" s="392">
        <f t="shared" si="6"/>
        <v>3</v>
      </c>
      <c r="G33" s="263" t="str">
        <f t="shared" si="7"/>
        <v>:</v>
      </c>
      <c r="H33" s="393">
        <f t="shared" si="8"/>
        <v>29.69999999999999</v>
      </c>
      <c r="I33" s="306"/>
      <c r="J33" s="306"/>
      <c r="K33" s="373" t="str">
        <f t="shared" si="11"/>
        <v>DISQ</v>
      </c>
      <c r="L33" s="306"/>
      <c r="M33" s="306"/>
      <c r="N33" s="377">
        <f t="shared" si="12"/>
        <v>36</v>
      </c>
      <c r="W33" s="403"/>
      <c r="X33" s="346">
        <f>VLOOKUP($B33,TempsF2Ce!$B$9:$AA$89,23)</f>
        <v>209.7</v>
      </c>
      <c r="Y33" s="346">
        <f>VLOOKUP($B33,TempsF2Ce!$B$9:$AA$89,24)</f>
        <v>1000000</v>
      </c>
      <c r="Z33" s="346">
        <f>VLOOKUP($B33,TempsF2Ce!$B$9:$AA$89,25)</f>
        <v>9964</v>
      </c>
      <c r="AA33" s="180">
        <f t="shared" si="14"/>
        <v>209.7</v>
      </c>
      <c r="AB33" s="180">
        <f t="shared" si="15"/>
        <v>9963.999999999953</v>
      </c>
      <c r="AC33" s="180">
        <f t="shared" si="16"/>
        <v>1000000</v>
      </c>
      <c r="AD33" s="180">
        <f>IF($A33&gt;'Semi-Results'!$P$2,"",MIN($AE33,$AF33))</f>
      </c>
      <c r="AE33" s="346">
        <f>IF($A33&gt;'Semi-Results'!$P$2,"",VLOOKUP($B33,'Semi-Results'!$B$9:$AA$100,23))</f>
      </c>
      <c r="AF33" s="346">
        <f>IF($A33&gt;'Semi-Results'!$P$2,"",VLOOKUP($B33,'Semi-Results'!$B$9:$AA$100,24))</f>
      </c>
      <c r="AG33" s="180">
        <f>IF($A33&gt;'Semi-Results'!$P$2,($AA33+10000000),MIN($AE33,$AF33))</f>
        <v>10000209.7</v>
      </c>
      <c r="AH33" s="142">
        <f>IF($A33&gt;'Semi-Results'!$P$2,($AA33+10000000),MAX($AE33,$AF33))</f>
        <v>10000209.7</v>
      </c>
      <c r="AI33" s="142">
        <f>IF($A33&gt;'Semi-Results'!$P$2,($AA33+10000000),$B33)</f>
        <v>10000209.7</v>
      </c>
      <c r="AJ33" s="142"/>
      <c r="AK33" s="346">
        <f>IF($A33&gt;'Semi-Results'!$P$2,"",VLOOKUP($B33,'Semi-Results'!$B$9:$AE$100,29))</f>
      </c>
      <c r="AL33" s="180">
        <f>IF($A33&gt;3,IF($A33&gt;'Semi-Results'!$P$2,MIN($X33:$Z33),MIN($AE33,$AF33)),$AK33)</f>
        <v>209.7</v>
      </c>
      <c r="AM33" s="180">
        <f>IF($A33&gt;3,IF($A33&gt;'Semi-Results'!$P$2,(SUM($X33:$Z33)-MAX($X33:$Z33)-MIN($X33:$Z33)),MAX($AE33,$AF33)),$AK33)</f>
        <v>9963.999999999953</v>
      </c>
      <c r="AN33" s="180">
        <f>IF($A33&gt;3,IF($A33&gt;'Semi-Results'!$P$2,MAX($X33:$Z33),MAX($AE33,$AF33)),$AK33)</f>
        <v>1000000</v>
      </c>
    </row>
    <row r="34" spans="1:40" ht="13.5">
      <c r="A34" s="229">
        <f t="shared" si="0"/>
        <v>26</v>
      </c>
      <c r="B34" s="320">
        <f>IF(($A34&gt;'Semi-Results'!$P$2),RésF2CeInd!B34,RésF2CsInd!B34)</f>
        <v>23</v>
      </c>
      <c r="C34" s="321" t="str">
        <f>VLOOKUP($B34,TempsF2Ce!$B$9:$N$89,2)</f>
        <v>MOHAI I. / SZVACSEK F.</v>
      </c>
      <c r="D34" s="322">
        <f>VLOOKUP($B34,TempsF2Ce!$B$9:$N$89,3)</f>
        <v>0</v>
      </c>
      <c r="E34" s="10" t="str">
        <f>VLOOKUP($B34,TempsF2Ce!$B$9:$N$89,4)</f>
        <v>HUN</v>
      </c>
      <c r="F34" s="350"/>
      <c r="G34" s="306"/>
      <c r="H34" s="374">
        <f t="shared" si="8"/>
        <v>84</v>
      </c>
      <c r="I34" s="306">
        <f t="shared" si="9"/>
        <v>3</v>
      </c>
      <c r="J34" s="306" t="str">
        <f t="shared" si="10"/>
        <v>:</v>
      </c>
      <c r="K34" s="297">
        <f t="shared" si="11"/>
        <v>38</v>
      </c>
      <c r="L34" s="263">
        <f t="shared" si="17"/>
        <v>3</v>
      </c>
      <c r="M34" s="263" t="str">
        <f t="shared" si="18"/>
        <v>:</v>
      </c>
      <c r="N34" s="391">
        <f t="shared" si="12"/>
        <v>30</v>
      </c>
      <c r="W34" s="403"/>
      <c r="X34" s="346">
        <f>VLOOKUP($B34,TempsF2Ce!$B$9:$AA$89,23)</f>
        <v>9916</v>
      </c>
      <c r="Y34" s="346">
        <f>VLOOKUP($B34,TempsF2Ce!$B$9:$AA$89,24)</f>
        <v>218</v>
      </c>
      <c r="Z34" s="346">
        <f>VLOOKUP($B34,TempsF2Ce!$B$9:$AA$89,25)</f>
        <v>210</v>
      </c>
      <c r="AA34" s="180">
        <f t="shared" si="14"/>
        <v>210</v>
      </c>
      <c r="AB34" s="180">
        <f t="shared" si="15"/>
        <v>218</v>
      </c>
      <c r="AC34" s="180">
        <f t="shared" si="16"/>
        <v>9916</v>
      </c>
      <c r="AD34" s="180">
        <f>IF($A34&gt;'Semi-Results'!$P$2,"",MIN($AE34,$AF34))</f>
      </c>
      <c r="AE34" s="346">
        <f>IF($A34&gt;'Semi-Results'!$P$2,"",VLOOKUP($B34,'Semi-Results'!$B$9:$AA$100,23))</f>
      </c>
      <c r="AF34" s="346">
        <f>IF($A34&gt;'Semi-Results'!$P$2,"",VLOOKUP($B34,'Semi-Results'!$B$9:$AA$100,24))</f>
      </c>
      <c r="AG34" s="180">
        <f>IF($A34&gt;'Semi-Results'!$P$2,($AA34+10000000),MIN($AE34,$AF34))</f>
        <v>10000210</v>
      </c>
      <c r="AH34" s="142">
        <f>IF($A34&gt;'Semi-Results'!$P$2,($AA34+10000000),MAX($AE34,$AF34))</f>
        <v>10000210</v>
      </c>
      <c r="AI34" s="142">
        <f>IF($A34&gt;'Semi-Results'!$P$2,($AA34+10000000),$B34)</f>
        <v>10000210</v>
      </c>
      <c r="AJ34" s="142"/>
      <c r="AK34" s="346">
        <f>IF($A34&gt;'Semi-Results'!$P$2,"",VLOOKUP($B34,'Semi-Results'!$B$9:$AE$100,29))</f>
      </c>
      <c r="AL34" s="180">
        <f>IF($A34&gt;3,IF($A34&gt;'Semi-Results'!$P$2,MIN($X34:$Z34),MIN($AE34,$AF34)),$AK34)</f>
        <v>210</v>
      </c>
      <c r="AM34" s="180">
        <f>IF($A34&gt;3,IF($A34&gt;'Semi-Results'!$P$2,(SUM($X34:$Z34)-MAX($X34:$Z34)-MIN($X34:$Z34)),MAX($AE34,$AF34)),$AK34)</f>
        <v>218</v>
      </c>
      <c r="AN34" s="180">
        <f>IF($A34&gt;3,IF($A34&gt;'Semi-Results'!$P$2,MAX($X34:$Z34),MAX($AE34,$AF34)),$AK34)</f>
        <v>9916</v>
      </c>
    </row>
    <row r="35" spans="1:40" ht="13.5">
      <c r="A35" s="229">
        <f t="shared" si="0"/>
        <v>27</v>
      </c>
      <c r="B35" s="320">
        <f>IF(($A35&gt;'Semi-Results'!$P$2),RésF2CeInd!B35,RésF2CsInd!B36)</f>
        <v>33</v>
      </c>
      <c r="C35" s="321" t="str">
        <f>VLOOKUP($B35,TempsF2Ce!$B$9:$N$89,2)</f>
        <v>SURKOV O. / BALEZINE V.</v>
      </c>
      <c r="D35" s="322">
        <f>VLOOKUP($B35,TempsF2Ce!$B$9:$N$89,3)</f>
        <v>0</v>
      </c>
      <c r="E35" s="10" t="str">
        <f>VLOOKUP($B35,TempsF2Ce!$B$9:$N$89,4)</f>
        <v>RUS</v>
      </c>
      <c r="F35" s="350"/>
      <c r="G35" s="306"/>
      <c r="H35" s="373" t="str">
        <f t="shared" si="8"/>
        <v>DISQ</v>
      </c>
      <c r="I35" s="306">
        <f t="shared" si="9"/>
        <v>4</v>
      </c>
      <c r="J35" s="306" t="str">
        <f t="shared" si="10"/>
        <v>:</v>
      </c>
      <c r="K35" s="297">
        <f t="shared" si="11"/>
        <v>4.900000000000006</v>
      </c>
      <c r="L35" s="263">
        <f t="shared" si="17"/>
        <v>3</v>
      </c>
      <c r="M35" s="263" t="str">
        <f t="shared" si="18"/>
        <v>:</v>
      </c>
      <c r="N35" s="391">
        <f t="shared" si="12"/>
        <v>32.400000000000006</v>
      </c>
      <c r="W35" s="403"/>
      <c r="X35" s="346">
        <f>VLOOKUP($B35,TempsF2Ce!$B$9:$AA$89,23)</f>
        <v>1000000</v>
      </c>
      <c r="Y35" s="346">
        <f>VLOOKUP($B35,TempsF2Ce!$B$9:$AA$89,24)</f>
        <v>244.9</v>
      </c>
      <c r="Z35" s="346">
        <f>VLOOKUP($B35,TempsF2Ce!$B$9:$AA$89,25)</f>
        <v>212.4</v>
      </c>
      <c r="AA35" s="180">
        <f t="shared" si="14"/>
        <v>212.4</v>
      </c>
      <c r="AB35" s="180">
        <f t="shared" si="15"/>
        <v>244.90000000004656</v>
      </c>
      <c r="AC35" s="180">
        <f t="shared" si="16"/>
        <v>1000000</v>
      </c>
      <c r="AD35" s="180">
        <f>IF($A35&gt;'Semi-Results'!$P$2,"",MIN($AE35,$AF35))</f>
      </c>
      <c r="AE35" s="346">
        <f>IF($A35&gt;'Semi-Results'!$P$2,"",VLOOKUP($B35,'Semi-Results'!$B$9:$AA$100,23))</f>
      </c>
      <c r="AF35" s="346">
        <f>IF($A35&gt;'Semi-Results'!$P$2,"",VLOOKUP($B35,'Semi-Results'!$B$9:$AA$100,24))</f>
      </c>
      <c r="AG35" s="180">
        <f>IF($A35&gt;'Semi-Results'!$P$2,($AA35+10000000),MIN($AE35,$AF35))</f>
        <v>10000212.4</v>
      </c>
      <c r="AH35" s="142">
        <f>IF($A35&gt;'Semi-Results'!$P$2,($AA35+10000000),MAX($AE35,$AF35))</f>
        <v>10000212.4</v>
      </c>
      <c r="AI35" s="142">
        <f>IF($A35&gt;'Semi-Results'!$P$2,($AA35+10000000),$B35)</f>
        <v>10000212.4</v>
      </c>
      <c r="AJ35" s="142"/>
      <c r="AK35" s="346">
        <f>IF($A35&gt;'Semi-Results'!$P$2,"",VLOOKUP($B35,'Semi-Results'!$B$9:$AE$100,29))</f>
      </c>
      <c r="AL35" s="180">
        <f>IF($A35&gt;3,IF($A35&gt;'Semi-Results'!$P$2,MIN($X35:$Z35),MIN($AE35,$AF35)),$AK35)</f>
        <v>212.4</v>
      </c>
      <c r="AM35" s="180">
        <f>IF($A35&gt;3,IF($A35&gt;'Semi-Results'!$P$2,(SUM($X35:$Z35)-MAX($X35:$Z35)-MIN($X35:$Z35)),MAX($AE35,$AF35)),$AK35)</f>
        <v>244.90000000004656</v>
      </c>
      <c r="AN35" s="180">
        <f>IF($A35&gt;3,IF($A35&gt;'Semi-Results'!$P$2,MAX($X35:$Z35),MAX($AE35,$AF35)),$AK35)</f>
        <v>1000000</v>
      </c>
    </row>
    <row r="36" spans="1:40" ht="13.5">
      <c r="A36" s="229">
        <f t="shared" si="0"/>
        <v>28</v>
      </c>
      <c r="B36" s="320">
        <f>IF(($A36&gt;'Semi-Results'!$P$2),RésF2CeInd!B36,RésF2CsInd!B37)</f>
        <v>3</v>
      </c>
      <c r="C36" s="321" t="str">
        <f>VLOOKUP($B36,TempsF2Ce!$B$9:$N$89,2)</f>
        <v>JUSTIC R. / OWEN R.</v>
      </c>
      <c r="D36" s="322">
        <f>VLOOKUP($B36,TempsF2Ce!$B$9:$N$89,3)</f>
        <v>0</v>
      </c>
      <c r="E36" s="10" t="str">
        <f>VLOOKUP($B36,TempsF2Ce!$B$9:$N$89,4)</f>
        <v>AUS</v>
      </c>
      <c r="F36" s="350"/>
      <c r="G36" s="306"/>
      <c r="H36" s="373" t="str">
        <f t="shared" si="8"/>
        <v>DISQ</v>
      </c>
      <c r="I36" s="263">
        <f t="shared" si="9"/>
        <v>3</v>
      </c>
      <c r="J36" s="263" t="str">
        <f t="shared" si="10"/>
        <v>:</v>
      </c>
      <c r="K36" s="393">
        <f t="shared" si="11"/>
        <v>34.19999999999999</v>
      </c>
      <c r="L36" s="306">
        <f t="shared" si="17"/>
        <v>3</v>
      </c>
      <c r="M36" s="306" t="str">
        <f t="shared" si="18"/>
        <v>:</v>
      </c>
      <c r="N36" s="288">
        <f t="shared" si="12"/>
        <v>47.400000000000006</v>
      </c>
      <c r="W36" s="403"/>
      <c r="X36" s="346">
        <f>VLOOKUP($B36,TempsF2Ce!$B$9:$AA$89,23)</f>
        <v>1000000</v>
      </c>
      <c r="Y36" s="346">
        <f>VLOOKUP($B36,TempsF2Ce!$B$9:$AA$89,24)</f>
        <v>214.2</v>
      </c>
      <c r="Z36" s="346">
        <f>VLOOKUP($B36,TempsF2Ce!$B$9:$AA$89,25)</f>
        <v>227.4</v>
      </c>
      <c r="AA36" s="180">
        <f t="shared" si="14"/>
        <v>214.2</v>
      </c>
      <c r="AB36" s="180">
        <f t="shared" si="15"/>
        <v>227.39999999997673</v>
      </c>
      <c r="AC36" s="180">
        <f t="shared" si="16"/>
        <v>1000000</v>
      </c>
      <c r="AD36" s="180">
        <f>IF($A36&gt;'Semi-Results'!$P$2,"",MIN($AE36,$AF36))</f>
      </c>
      <c r="AE36" s="346">
        <f>IF($A36&gt;'Semi-Results'!$P$2,"",VLOOKUP($B36,'Semi-Results'!$B$9:$AA$100,23))</f>
      </c>
      <c r="AF36" s="346">
        <f>IF($A36&gt;'Semi-Results'!$P$2,"",VLOOKUP($B36,'Semi-Results'!$B$9:$AA$100,24))</f>
      </c>
      <c r="AG36" s="180">
        <f>IF($A36&gt;'Semi-Results'!$P$2,($AA36+10000000),MIN($AE36,$AF36))</f>
        <v>10000214.2</v>
      </c>
      <c r="AH36" s="142">
        <f>IF($A36&gt;'Semi-Results'!$P$2,($AA36+10000000),MAX($AE36,$AF36))</f>
        <v>10000214.2</v>
      </c>
      <c r="AI36" s="142">
        <f>IF($A36&gt;'Semi-Results'!$P$2,($AA36+10000000),$B36)</f>
        <v>10000214.2</v>
      </c>
      <c r="AJ36" s="142"/>
      <c r="AK36" s="346">
        <f>IF($A36&gt;'Semi-Results'!$P$2,"",VLOOKUP($B36,'Semi-Results'!$B$9:$AE$100,29))</f>
      </c>
      <c r="AL36" s="180">
        <f>IF($A36&gt;3,IF($A36&gt;'Semi-Results'!$P$2,MIN($X36:$Z36),MIN($AE36,$AF36)),$AK36)</f>
        <v>214.2</v>
      </c>
      <c r="AM36" s="180">
        <f>IF($A36&gt;3,IF($A36&gt;'Semi-Results'!$P$2,(SUM($X36:$Z36)-MAX($X36:$Z36)-MIN($X36:$Z36)),MAX($AE36,$AF36)),$AK36)</f>
        <v>227.39999999997673</v>
      </c>
      <c r="AN36" s="180">
        <f>IF($A36&gt;3,IF($A36&gt;'Semi-Results'!$P$2,MAX($X36:$Z36),MAX($AE36,$AF36)),$AK36)</f>
        <v>1000000</v>
      </c>
    </row>
    <row r="37" spans="1:40" ht="13.5">
      <c r="A37" s="229">
        <f t="shared" si="0"/>
        <v>29</v>
      </c>
      <c r="B37" s="320">
        <f>IF(($A37&gt;'Semi-Results'!$P$2),RésF2CeInd!B37,RésF2CsInd!B38)</f>
        <v>10</v>
      </c>
      <c r="C37" s="321" t="str">
        <f>VLOOKUP($B37,TempsF2Ce!$B$9:$N$89,2)</f>
        <v>BARRAGAN A. / BARRAGAN J.</v>
      </c>
      <c r="D37" s="322">
        <f>VLOOKUP($B37,TempsF2Ce!$B$9:$N$89,3)</f>
        <v>0</v>
      </c>
      <c r="E37" s="10" t="str">
        <f>VLOOKUP($B37,TempsF2Ce!$B$9:$N$89,4)</f>
        <v>ESP</v>
      </c>
      <c r="F37" s="392">
        <f t="shared" si="6"/>
        <v>3</v>
      </c>
      <c r="G37" s="263" t="str">
        <f t="shared" si="7"/>
        <v>:</v>
      </c>
      <c r="H37" s="393">
        <f t="shared" si="8"/>
        <v>36.400000000000006</v>
      </c>
      <c r="I37" s="306">
        <f t="shared" si="9"/>
        <v>4</v>
      </c>
      <c r="J37" s="306" t="str">
        <f t="shared" si="10"/>
        <v>:</v>
      </c>
      <c r="K37" s="297">
        <f t="shared" si="11"/>
        <v>13.800000000000011</v>
      </c>
      <c r="L37" s="306">
        <f t="shared" si="17"/>
        <v>3</v>
      </c>
      <c r="M37" s="306" t="str">
        <f t="shared" si="18"/>
        <v>:</v>
      </c>
      <c r="N37" s="288">
        <f t="shared" si="12"/>
        <v>55.80000000000001</v>
      </c>
      <c r="W37" s="403"/>
      <c r="X37" s="346">
        <f>VLOOKUP($B37,TempsF2Ce!$B$9:$AA$89,23)</f>
        <v>216.4</v>
      </c>
      <c r="Y37" s="346">
        <f>VLOOKUP($B37,TempsF2Ce!$B$9:$AA$89,24)</f>
        <v>253.8</v>
      </c>
      <c r="Z37" s="346">
        <f>VLOOKUP($B37,TempsF2Ce!$B$9:$AA$89,25)</f>
        <v>235.8</v>
      </c>
      <c r="AA37" s="180">
        <f t="shared" si="14"/>
        <v>216.4</v>
      </c>
      <c r="AB37" s="180">
        <f t="shared" si="15"/>
        <v>235.79999999999998</v>
      </c>
      <c r="AC37" s="180">
        <f t="shared" si="16"/>
        <v>253.8</v>
      </c>
      <c r="AD37" s="180">
        <f>IF($A37&gt;'Semi-Results'!$P$2,"",MIN($AE37,$AF37))</f>
      </c>
      <c r="AE37" s="346">
        <f>IF($A37&gt;'Semi-Results'!$P$2,"",VLOOKUP($B37,'Semi-Results'!$B$9:$AA$100,23))</f>
      </c>
      <c r="AF37" s="346">
        <f>IF($A37&gt;'Semi-Results'!$P$2,"",VLOOKUP($B37,'Semi-Results'!$B$9:$AA$100,24))</f>
      </c>
      <c r="AG37" s="180">
        <f>IF($A37&gt;'Semi-Results'!$P$2,($AA37+10000000),MIN($AE37,$AF37))</f>
        <v>10000216.4</v>
      </c>
      <c r="AH37" s="142">
        <f>IF($A37&gt;'Semi-Results'!$P$2,($AA37+10000000),MAX($AE37,$AF37))</f>
        <v>10000216.4</v>
      </c>
      <c r="AI37" s="142">
        <f>IF($A37&gt;'Semi-Results'!$P$2,($AA37+10000000),$B37)</f>
        <v>10000216.4</v>
      </c>
      <c r="AJ37" s="142"/>
      <c r="AK37" s="346">
        <f>IF($A37&gt;'Semi-Results'!$P$2,"",VLOOKUP($B37,'Semi-Results'!$B$9:$AE$100,29))</f>
      </c>
      <c r="AL37" s="180">
        <f>IF($A37&gt;3,IF($A37&gt;'Semi-Results'!$P$2,MIN($X37:$Z37),MIN($AE37,$AF37)),$AK37)</f>
        <v>216.4</v>
      </c>
      <c r="AM37" s="180">
        <f>IF($A37&gt;3,IF($A37&gt;'Semi-Results'!$P$2,(SUM($X37:$Z37)-MAX($X37:$Z37)-MIN($X37:$Z37)),MAX($AE37,$AF37)),$AK37)</f>
        <v>235.79999999999998</v>
      </c>
      <c r="AN37" s="180">
        <f>IF($A37&gt;3,IF($A37&gt;'Semi-Results'!$P$2,MAX($X37:$Z37),MAX($AE37,$AF37)),$AK37)</f>
        <v>253.8</v>
      </c>
    </row>
    <row r="38" spans="1:40" ht="13.5">
      <c r="A38" s="229">
        <f t="shared" si="0"/>
        <v>30</v>
      </c>
      <c r="B38" s="320">
        <f>IF(($A38&gt;'Semi-Results'!$P$2),RésF2CeInd!B38,RésF2CsInd!B39)</f>
        <v>12</v>
      </c>
      <c r="C38" s="321" t="str">
        <f>VLOOKUP($B38,TempsF2Ce!$B$9:$N$89,2)</f>
        <v>LOPEZ J. / DEL HOYO C. </v>
      </c>
      <c r="D38" s="322">
        <f>VLOOKUP($B38,TempsF2Ce!$B$9:$N$89,3)</f>
        <v>0</v>
      </c>
      <c r="E38" s="10" t="str">
        <f>VLOOKUP($B38,TempsF2Ce!$B$9:$N$89,4)</f>
        <v>ESP</v>
      </c>
      <c r="F38" s="350">
        <f t="shared" si="6"/>
        <v>3</v>
      </c>
      <c r="G38" s="306" t="str">
        <f t="shared" si="7"/>
        <v>:</v>
      </c>
      <c r="H38" s="297">
        <f t="shared" si="8"/>
        <v>51.30000000000001</v>
      </c>
      <c r="I38" s="263">
        <f t="shared" si="9"/>
        <v>3</v>
      </c>
      <c r="J38" s="263" t="str">
        <f t="shared" si="10"/>
        <v>:</v>
      </c>
      <c r="K38" s="393">
        <f t="shared" si="11"/>
        <v>38.400000000000006</v>
      </c>
      <c r="L38" s="306">
        <f t="shared" si="17"/>
        <v>4</v>
      </c>
      <c r="M38" s="306" t="str">
        <f t="shared" si="18"/>
        <v>:</v>
      </c>
      <c r="N38" s="288">
        <f t="shared" si="12"/>
        <v>17.69999999999999</v>
      </c>
      <c r="W38" s="403"/>
      <c r="X38" s="346">
        <f>VLOOKUP($B38,TempsF2Ce!$B$9:$AA$89,23)</f>
        <v>231.3</v>
      </c>
      <c r="Y38" s="346">
        <f>VLOOKUP($B38,TempsF2Ce!$B$9:$AA$89,24)</f>
        <v>218.4</v>
      </c>
      <c r="Z38" s="346">
        <f>VLOOKUP($B38,TempsF2Ce!$B$9:$AA$89,25)</f>
        <v>257.7</v>
      </c>
      <c r="AA38" s="180">
        <f t="shared" si="14"/>
        <v>218.4</v>
      </c>
      <c r="AB38" s="180">
        <f t="shared" si="15"/>
        <v>231.3000000000001</v>
      </c>
      <c r="AC38" s="180">
        <f t="shared" si="16"/>
        <v>257.7</v>
      </c>
      <c r="AD38" s="180">
        <f>IF($A38&gt;'Semi-Results'!$P$2,"",MIN($AE38,$AF38))</f>
      </c>
      <c r="AE38" s="346">
        <f>IF($A38&gt;'Semi-Results'!$P$2,"",VLOOKUP($B38,'Semi-Results'!$B$9:$AA$100,23))</f>
      </c>
      <c r="AF38" s="346">
        <f>IF($A38&gt;'Semi-Results'!$P$2,"",VLOOKUP($B38,'Semi-Results'!$B$9:$AA$100,24))</f>
      </c>
      <c r="AG38" s="180">
        <f>IF($A38&gt;'Semi-Results'!$P$2,($AA38+10000000),MIN($AE38,$AF38))</f>
        <v>10000218.4</v>
      </c>
      <c r="AH38" s="142">
        <f>IF($A38&gt;'Semi-Results'!$P$2,($AA38+10000000),MAX($AE38,$AF38))</f>
        <v>10000218.4</v>
      </c>
      <c r="AI38" s="142">
        <f>IF($A38&gt;'Semi-Results'!$P$2,($AA38+10000000),$B38)</f>
        <v>10000218.4</v>
      </c>
      <c r="AJ38" s="142"/>
      <c r="AK38" s="346">
        <f>IF($A38&gt;'Semi-Results'!$P$2,"",VLOOKUP($B38,'Semi-Results'!$B$9:$AE$100,29))</f>
      </c>
      <c r="AL38" s="180">
        <f>IF($A38&gt;3,IF($A38&gt;'Semi-Results'!$P$2,MIN($X38:$Z38),MIN($AE38,$AF38)),$AK38)</f>
        <v>218.4</v>
      </c>
      <c r="AM38" s="180">
        <f>IF($A38&gt;3,IF($A38&gt;'Semi-Results'!$P$2,(SUM($X38:$Z38)-MAX($X38:$Z38)-MIN($X38:$Z38)),MAX($AE38,$AF38)),$AK38)</f>
        <v>231.3000000000001</v>
      </c>
      <c r="AN38" s="180">
        <f>IF($A38&gt;3,IF($A38&gt;'Semi-Results'!$P$2,MAX($X38:$Z38),MAX($AE38,$AF38)),$AK38)</f>
        <v>257.7</v>
      </c>
    </row>
    <row r="39" spans="1:40" ht="13.5">
      <c r="A39" s="229">
        <f t="shared" si="0"/>
        <v>31</v>
      </c>
      <c r="B39" s="320">
        <f>IF(($A39&gt;'Semi-Results'!$P$2),RésF2CeInd!B39,RésF2CsInd!B40)</f>
        <v>18</v>
      </c>
      <c r="C39" s="321" t="str">
        <f>VLOOKUP($B39,TempsF2Ce!$B$9:$N$89,2)</f>
        <v>MARSCHALL H./ KUCKELKORN F.</v>
      </c>
      <c r="D39" s="322">
        <f>VLOOKUP($B39,TempsF2Ce!$B$9:$N$89,3)</f>
        <v>0</v>
      </c>
      <c r="E39" s="10" t="str">
        <f>VLOOKUP($B39,TempsF2Ce!$B$9:$N$89,4)</f>
        <v>GER</v>
      </c>
      <c r="F39" s="350"/>
      <c r="G39" s="306"/>
      <c r="H39" s="374">
        <f t="shared" si="8"/>
        <v>26</v>
      </c>
      <c r="I39" s="263">
        <f t="shared" si="9"/>
        <v>3</v>
      </c>
      <c r="J39" s="263" t="str">
        <f t="shared" si="10"/>
        <v>:</v>
      </c>
      <c r="K39" s="393">
        <f t="shared" si="11"/>
        <v>43.19999999999999</v>
      </c>
      <c r="L39" s="306">
        <f t="shared" si="17"/>
        <v>3</v>
      </c>
      <c r="M39" s="306" t="str">
        <f t="shared" si="18"/>
        <v>:</v>
      </c>
      <c r="N39" s="288">
        <f t="shared" si="12"/>
        <v>47.19999999999999</v>
      </c>
      <c r="W39" s="403"/>
      <c r="X39" s="346">
        <f>VLOOKUP($B39,TempsF2Ce!$B$9:$AA$89,23)</f>
        <v>9974</v>
      </c>
      <c r="Y39" s="346">
        <f>VLOOKUP($B39,TempsF2Ce!$B$9:$AA$89,24)</f>
        <v>223.2</v>
      </c>
      <c r="Z39" s="346">
        <f>VLOOKUP($B39,TempsF2Ce!$B$9:$AA$89,25)</f>
        <v>227.2</v>
      </c>
      <c r="AA39" s="180">
        <f t="shared" si="14"/>
        <v>223.2</v>
      </c>
      <c r="AB39" s="180">
        <f t="shared" si="15"/>
        <v>227.20000000000147</v>
      </c>
      <c r="AC39" s="180">
        <f t="shared" si="16"/>
        <v>9974</v>
      </c>
      <c r="AD39" s="180">
        <f>IF($A39&gt;'Semi-Results'!$P$2,"",MIN($AE39,$AF39))</f>
      </c>
      <c r="AE39" s="346">
        <f>IF($A39&gt;'Semi-Results'!$P$2,"",VLOOKUP($B39,'Semi-Results'!$B$9:$AA$100,23))</f>
      </c>
      <c r="AF39" s="346">
        <f>IF($A39&gt;'Semi-Results'!$P$2,"",VLOOKUP($B39,'Semi-Results'!$B$9:$AA$100,24))</f>
      </c>
      <c r="AG39" s="180">
        <f>IF($A39&gt;'Semi-Results'!$P$2,($AA39+10000000),MIN($AE39,$AF39))</f>
        <v>10000223.2</v>
      </c>
      <c r="AH39" s="142">
        <f>IF($A39&gt;'Semi-Results'!$P$2,($AA39+10000000),MAX($AE39,$AF39))</f>
        <v>10000223.2</v>
      </c>
      <c r="AI39" s="142">
        <f>IF($A39&gt;'Semi-Results'!$P$2,($AA39+10000000),$B39)</f>
        <v>10000223.2</v>
      </c>
      <c r="AJ39" s="142"/>
      <c r="AK39" s="346">
        <f>IF($A39&gt;'Semi-Results'!$P$2,"",VLOOKUP($B39,'Semi-Results'!$B$9:$AE$100,29))</f>
      </c>
      <c r="AL39" s="180">
        <f>IF($A39&gt;3,IF($A39&gt;'Semi-Results'!$P$2,MIN($X39:$Z39),MIN($AE39,$AF39)),$AK39)</f>
        <v>223.2</v>
      </c>
      <c r="AM39" s="180">
        <f>IF($A39&gt;3,IF($A39&gt;'Semi-Results'!$P$2,(SUM($X39:$Z39)-MAX($X39:$Z39)-MIN($X39:$Z39)),MAX($AE39,$AF39)),$AK39)</f>
        <v>227.20000000000147</v>
      </c>
      <c r="AN39" s="180">
        <f>IF($A39&gt;3,IF($A39&gt;'Semi-Results'!$P$2,MAX($X39:$Z39),MAX($AE39,$AF39)),$AK39)</f>
        <v>9974</v>
      </c>
    </row>
    <row r="40" spans="1:40" ht="13.5">
      <c r="A40" s="229">
        <f t="shared" si="0"/>
        <v>32</v>
      </c>
      <c r="B40" s="320">
        <f>IF(($A40&gt;'Semi-Results'!$P$2),RésF2CeInd!B40,RésF2CsInd!B41)</f>
        <v>44</v>
      </c>
      <c r="C40" s="321" t="str">
        <f>VLOOKUP($B40,TempsF2Ce!$B$9:$N$89,2)</f>
        <v>GIGER P. / STUDER H.</v>
      </c>
      <c r="D40" s="322">
        <f>VLOOKUP($B40,TempsF2Ce!$B$9:$N$89,3)</f>
        <v>0</v>
      </c>
      <c r="E40" s="10" t="str">
        <f>VLOOKUP($B40,TempsF2Ce!$B$9:$N$89,4)</f>
        <v>SUI</v>
      </c>
      <c r="F40" s="350"/>
      <c r="G40" s="306"/>
      <c r="H40" s="373" t="str">
        <f t="shared" si="8"/>
        <v>DISQ</v>
      </c>
      <c r="I40" s="263">
        <f t="shared" si="9"/>
        <v>3</v>
      </c>
      <c r="J40" s="263" t="str">
        <f t="shared" si="10"/>
        <v>:</v>
      </c>
      <c r="K40" s="393">
        <f t="shared" si="11"/>
        <v>45.400000000000006</v>
      </c>
      <c r="L40" s="306">
        <f t="shared" si="17"/>
        <v>3</v>
      </c>
      <c r="M40" s="306" t="str">
        <f t="shared" si="18"/>
        <v>:</v>
      </c>
      <c r="N40" s="288">
        <f t="shared" si="12"/>
        <v>56.80000000000001</v>
      </c>
      <c r="W40" s="403"/>
      <c r="X40" s="346">
        <f>VLOOKUP($B40,TempsF2Ce!$B$9:$AA$89,23)</f>
        <v>1000000</v>
      </c>
      <c r="Y40" s="346">
        <f>VLOOKUP($B40,TempsF2Ce!$B$9:$AA$89,24)</f>
        <v>225.4</v>
      </c>
      <c r="Z40" s="346">
        <f>VLOOKUP($B40,TempsF2Ce!$B$9:$AA$89,25)</f>
        <v>236.8</v>
      </c>
      <c r="AA40" s="180">
        <f t="shared" si="14"/>
        <v>225.4</v>
      </c>
      <c r="AB40" s="180">
        <f t="shared" si="15"/>
        <v>236.80000000006984</v>
      </c>
      <c r="AC40" s="180">
        <f t="shared" si="16"/>
        <v>1000000</v>
      </c>
      <c r="AD40" s="180">
        <f>IF($A40&gt;'Semi-Results'!$P$2,"",MIN($AE40,$AF40))</f>
      </c>
      <c r="AE40" s="346">
        <f>IF($A40&gt;'Semi-Results'!$P$2,"",VLOOKUP($B40,'Semi-Results'!$B$9:$AA$100,23))</f>
      </c>
      <c r="AF40" s="346">
        <f>IF($A40&gt;'Semi-Results'!$P$2,"",VLOOKUP($B40,'Semi-Results'!$B$9:$AA$100,24))</f>
      </c>
      <c r="AG40" s="180">
        <f>IF($A40&gt;'Semi-Results'!$P$2,($AA40+10000000),MIN($AE40,$AF40))</f>
        <v>10000225.4</v>
      </c>
      <c r="AH40" s="142">
        <f>IF($A40&gt;'Semi-Results'!$P$2,($AA40+10000000),MAX($AE40,$AF40))</f>
        <v>10000225.4</v>
      </c>
      <c r="AI40" s="142">
        <f>IF($A40&gt;'Semi-Results'!$P$2,($AA40+10000000),$B40)</f>
        <v>10000225.4</v>
      </c>
      <c r="AJ40" s="142"/>
      <c r="AK40" s="346">
        <f>IF($A40&gt;'Semi-Results'!$P$2,"",VLOOKUP($B40,'Semi-Results'!$B$9:$AE$100,29))</f>
      </c>
      <c r="AL40" s="180">
        <f>IF($A40&gt;3,IF($A40&gt;'Semi-Results'!$P$2,MIN($X40:$Z40),MIN($AE40,$AF40)),$AK40)</f>
        <v>225.4</v>
      </c>
      <c r="AM40" s="180">
        <f>IF($A40&gt;3,IF($A40&gt;'Semi-Results'!$P$2,(SUM($X40:$Z40)-MAX($X40:$Z40)-MIN($X40:$Z40)),MAX($AE40,$AF40)),$AK40)</f>
        <v>236.80000000006984</v>
      </c>
      <c r="AN40" s="180">
        <f>IF($A40&gt;3,IF($A40&gt;'Semi-Results'!$P$2,MAX($X40:$Z40),MAX($AE40,$AF40)),$AK40)</f>
        <v>1000000</v>
      </c>
    </row>
    <row r="41" spans="1:40" ht="13.5">
      <c r="A41" s="229">
        <f t="shared" si="0"/>
        <v>33</v>
      </c>
      <c r="B41" s="320">
        <f>IF(($A41&gt;'Semi-Results'!$P$2),RésF2CeInd!B41,RésF2CsInd!B42)</f>
        <v>17</v>
      </c>
      <c r="C41" s="321" t="str">
        <f>VLOOKUP($B41,TempsF2Ce!$B$9:$N$89,2)</f>
        <v>LINDEMANN R. / KIEL U.</v>
      </c>
      <c r="D41" s="322">
        <f>VLOOKUP($B41,TempsF2Ce!$B$9:$N$89,3)</f>
        <v>0</v>
      </c>
      <c r="E41" s="10" t="str">
        <f>VLOOKUP($B41,TempsF2Ce!$B$9:$N$89,4)</f>
        <v>GER</v>
      </c>
      <c r="F41" s="350"/>
      <c r="G41" s="306"/>
      <c r="H41" s="374">
        <f t="shared" si="8"/>
        <v>31</v>
      </c>
      <c r="I41" s="306"/>
      <c r="J41" s="306"/>
      <c r="K41" s="373" t="str">
        <f t="shared" si="11"/>
        <v>DISQ</v>
      </c>
      <c r="L41" s="263">
        <f t="shared" si="17"/>
        <v>3</v>
      </c>
      <c r="M41" s="263" t="str">
        <f t="shared" si="18"/>
        <v>:</v>
      </c>
      <c r="N41" s="391">
        <f t="shared" si="12"/>
        <v>46.5</v>
      </c>
      <c r="W41" s="403"/>
      <c r="X41" s="346">
        <f>VLOOKUP($B41,TempsF2Ce!$B$9:$AA$89,23)</f>
        <v>9969</v>
      </c>
      <c r="Y41" s="346">
        <f>VLOOKUP($B41,TempsF2Ce!$B$9:$AA$89,24)</f>
        <v>1000000</v>
      </c>
      <c r="Z41" s="346">
        <f>VLOOKUP($B41,TempsF2Ce!$B$9:$AA$89,25)</f>
        <v>226.5</v>
      </c>
      <c r="AA41" s="180">
        <f t="shared" si="14"/>
        <v>226.5</v>
      </c>
      <c r="AB41" s="180">
        <f t="shared" si="15"/>
        <v>9969</v>
      </c>
      <c r="AC41" s="180">
        <f t="shared" si="16"/>
        <v>1000000</v>
      </c>
      <c r="AD41" s="180">
        <f>IF($A41&gt;'Semi-Results'!$P$2,"",MIN($AE41,$AF41))</f>
      </c>
      <c r="AE41" s="346">
        <f>IF($A41&gt;'Semi-Results'!$P$2,"",VLOOKUP($B41,'Semi-Results'!$B$9:$AA$100,23))</f>
      </c>
      <c r="AF41" s="346">
        <f>IF($A41&gt;'Semi-Results'!$P$2,"",VLOOKUP($B41,'Semi-Results'!$B$9:$AA$100,24))</f>
      </c>
      <c r="AG41" s="180">
        <f>IF($A41&gt;'Semi-Results'!$P$2,($AA41+10000000),MIN($AE41,$AF41))</f>
        <v>10000226.5</v>
      </c>
      <c r="AH41" s="142">
        <f>IF($A41&gt;'Semi-Results'!$P$2,($AA41+10000000),MAX($AE41,$AF41))</f>
        <v>10000226.5</v>
      </c>
      <c r="AI41" s="142">
        <f>IF($A41&gt;'Semi-Results'!$P$2,($AA41+10000000),$B41)</f>
        <v>10000226.5</v>
      </c>
      <c r="AJ41" s="142"/>
      <c r="AK41" s="346">
        <f>IF($A41&gt;'Semi-Results'!$P$2,"",VLOOKUP($B41,'Semi-Results'!$B$9:$AE$100,29))</f>
      </c>
      <c r="AL41" s="180">
        <f>IF($A41&gt;3,IF($A41&gt;'Semi-Results'!$P$2,MIN($X41:$Z41),MIN($AE41,$AF41)),$AK41)</f>
        <v>226.5</v>
      </c>
      <c r="AM41" s="180">
        <f>IF($A41&gt;3,IF($A41&gt;'Semi-Results'!$P$2,(SUM($X41:$Z41)-MAX($X41:$Z41)-MIN($X41:$Z41)),MAX($AE41,$AF41)),$AK41)</f>
        <v>9969</v>
      </c>
      <c r="AN41" s="180">
        <f>IF($A41&gt;3,IF($A41&gt;'Semi-Results'!$P$2,MAX($X41:$Z41),MAX($AE41,$AF41)),$AK41)</f>
        <v>1000000</v>
      </c>
    </row>
    <row r="42" spans="1:40" ht="13.5">
      <c r="A42" s="229">
        <f t="shared" si="0"/>
        <v>34</v>
      </c>
      <c r="B42" s="320">
        <f>IF(($A42&gt;'Semi-Results'!$P$2),RésF2CeInd!B42,RésF2CsInd!B43)</f>
        <v>40</v>
      </c>
      <c r="C42" s="321" t="str">
        <f>VLOOKUP($B42,TempsF2Ce!$B$9:$N$89,2)</f>
        <v>SAMUELSSON B. O. / AXTILIUS K.</v>
      </c>
      <c r="D42" s="322">
        <f>VLOOKUP($B42,TempsF2Ce!$B$9:$N$89,3)</f>
        <v>0</v>
      </c>
      <c r="E42" s="10" t="str">
        <f>VLOOKUP($B42,TempsF2Ce!$B$9:$N$89,4)</f>
        <v>SWE</v>
      </c>
      <c r="F42" s="350"/>
      <c r="G42" s="306"/>
      <c r="H42" s="374">
        <f t="shared" si="8"/>
        <v>33</v>
      </c>
      <c r="I42" s="263">
        <f t="shared" si="9"/>
        <v>3</v>
      </c>
      <c r="J42" s="263" t="str">
        <f t="shared" si="10"/>
        <v>:</v>
      </c>
      <c r="K42" s="393">
        <f t="shared" si="11"/>
        <v>47.19999999999999</v>
      </c>
      <c r="L42" s="306">
        <f t="shared" si="17"/>
        <v>4</v>
      </c>
      <c r="M42" s="306" t="str">
        <f t="shared" si="18"/>
        <v>:</v>
      </c>
      <c r="N42" s="288">
        <f t="shared" si="12"/>
        <v>45.10000000000002</v>
      </c>
      <c r="W42" s="403"/>
      <c r="X42" s="346">
        <f>VLOOKUP($B42,TempsF2Ce!$B$9:$AA$89,23)</f>
        <v>9967</v>
      </c>
      <c r="Y42" s="346">
        <f>VLOOKUP($B42,TempsF2Ce!$B$9:$AA$89,24)</f>
        <v>227.2</v>
      </c>
      <c r="Z42" s="346">
        <f>VLOOKUP($B42,TempsF2Ce!$B$9:$AA$89,25)</f>
        <v>285.1</v>
      </c>
      <c r="AA42" s="180">
        <f t="shared" si="14"/>
        <v>227.2</v>
      </c>
      <c r="AB42" s="180">
        <f t="shared" si="15"/>
        <v>285.1000000000011</v>
      </c>
      <c r="AC42" s="180">
        <f t="shared" si="16"/>
        <v>9967</v>
      </c>
      <c r="AD42" s="180">
        <f>IF($A42&gt;'Semi-Results'!$P$2,"",MIN($AE42,$AF42))</f>
      </c>
      <c r="AE42" s="346">
        <f>IF($A42&gt;'Semi-Results'!$P$2,"",VLOOKUP($B42,'Semi-Results'!$B$9:$AA$100,23))</f>
      </c>
      <c r="AF42" s="346">
        <f>IF($A42&gt;'Semi-Results'!$P$2,"",VLOOKUP($B42,'Semi-Results'!$B$9:$AA$100,24))</f>
      </c>
      <c r="AG42" s="180">
        <f>IF($A42&gt;'Semi-Results'!$P$2,($AA42+10000000),MIN($AE42,$AF42))</f>
        <v>10000227.2</v>
      </c>
      <c r="AH42" s="142">
        <f>IF($A42&gt;'Semi-Results'!$P$2,($AA42+10000000),MAX($AE42,$AF42))</f>
        <v>10000227.2</v>
      </c>
      <c r="AI42" s="142">
        <f>IF($A42&gt;'Semi-Results'!$P$2,($AA42+10000000),$B42)</f>
        <v>10000227.2</v>
      </c>
      <c r="AJ42" s="142"/>
      <c r="AK42" s="346">
        <f>IF($A42&gt;'Semi-Results'!$P$2,"",VLOOKUP($B42,'Semi-Results'!$B$9:$AE$100,29))</f>
      </c>
      <c r="AL42" s="180">
        <f>IF($A42&gt;3,IF($A42&gt;'Semi-Results'!$P$2,MIN($X42:$Z42),MIN($AE42,$AF42)),$AK42)</f>
        <v>227.2</v>
      </c>
      <c r="AM42" s="180">
        <f>IF($A42&gt;3,IF($A42&gt;'Semi-Results'!$P$2,(SUM($X42:$Z42)-MAX($X42:$Z42)-MIN($X42:$Z42)),MAX($AE42,$AF42)),$AK42)</f>
        <v>285.1000000000011</v>
      </c>
      <c r="AN42" s="180">
        <f>IF($A42&gt;3,IF($A42&gt;'Semi-Results'!$P$2,MAX($X42:$Z42),MAX($AE42,$AF42)),$AK42)</f>
        <v>9967</v>
      </c>
    </row>
    <row r="43" spans="1:40" ht="13.5">
      <c r="A43" s="229">
        <f t="shared" si="0"/>
        <v>35</v>
      </c>
      <c r="B43" s="320">
        <f>IF(($A43&gt;'Semi-Results'!$P$2),RésF2CeInd!B43,RésF2CsInd!B44)</f>
        <v>4</v>
      </c>
      <c r="C43" s="321" t="str">
        <f>VLOOKUP($B43,TempsF2Ce!$B$9:$N$89,2)</f>
        <v>WILSON G. / STEIN P.</v>
      </c>
      <c r="D43" s="322">
        <f>VLOOKUP($B43,TempsF2Ce!$B$9:$N$89,3)</f>
        <v>0</v>
      </c>
      <c r="E43" s="10" t="str">
        <f>VLOOKUP($B43,TempsF2Ce!$B$9:$N$89,4)</f>
        <v>AUS</v>
      </c>
      <c r="F43" s="392">
        <f t="shared" si="6"/>
        <v>3</v>
      </c>
      <c r="G43" s="263" t="str">
        <f t="shared" si="7"/>
        <v>:</v>
      </c>
      <c r="H43" s="393">
        <f t="shared" si="8"/>
        <v>47.900000000000006</v>
      </c>
      <c r="I43" s="306"/>
      <c r="J43" s="306"/>
      <c r="K43" s="374">
        <f t="shared" si="11"/>
        <v>6</v>
      </c>
      <c r="L43" s="306">
        <f t="shared" si="17"/>
        <v>4</v>
      </c>
      <c r="M43" s="306" t="str">
        <f t="shared" si="18"/>
        <v>:</v>
      </c>
      <c r="N43" s="288">
        <f t="shared" si="12"/>
        <v>11.099999999999994</v>
      </c>
      <c r="W43" s="403"/>
      <c r="X43" s="346">
        <f>VLOOKUP($B43,TempsF2Ce!$B$9:$AA$89,23)</f>
        <v>227.9</v>
      </c>
      <c r="Y43" s="346">
        <f>VLOOKUP($B43,TempsF2Ce!$B$9:$AA$89,24)</f>
        <v>9994</v>
      </c>
      <c r="Z43" s="346">
        <f>VLOOKUP($B43,TempsF2Ce!$B$9:$AA$89,25)</f>
        <v>251.1</v>
      </c>
      <c r="AA43" s="180">
        <f t="shared" si="14"/>
        <v>227.9</v>
      </c>
      <c r="AB43" s="180">
        <f t="shared" si="15"/>
        <v>251.1</v>
      </c>
      <c r="AC43" s="180">
        <f t="shared" si="16"/>
        <v>9994</v>
      </c>
      <c r="AD43" s="180">
        <f>IF($A43&gt;'Semi-Results'!$P$2,"",MIN($AE43,$AF43))</f>
      </c>
      <c r="AE43" s="346">
        <f>IF($A43&gt;'Semi-Results'!$P$2,"",VLOOKUP($B43,'Semi-Results'!$B$9:$AA$100,23))</f>
      </c>
      <c r="AF43" s="346">
        <f>IF($A43&gt;'Semi-Results'!$P$2,"",VLOOKUP($B43,'Semi-Results'!$B$9:$AA$100,24))</f>
      </c>
      <c r="AG43" s="180">
        <f>IF($A43&gt;'Semi-Results'!$P$2,($AA43+10000000),MIN($AE43,$AF43))</f>
        <v>10000227.9</v>
      </c>
      <c r="AH43" s="142">
        <f>IF($A43&gt;'Semi-Results'!$P$2,($AA43+10000000),MAX($AE43,$AF43))</f>
        <v>10000227.9</v>
      </c>
      <c r="AI43" s="142">
        <f>IF($A43&gt;'Semi-Results'!$P$2,($AA43+10000000),$B43)</f>
        <v>10000227.9</v>
      </c>
      <c r="AJ43" s="142"/>
      <c r="AK43" s="346">
        <f>IF($A43&gt;'Semi-Results'!$P$2,"",VLOOKUP($B43,'Semi-Results'!$B$9:$AE$100,29))</f>
      </c>
      <c r="AL43" s="180">
        <f>IF($A43&gt;3,IF($A43&gt;'Semi-Results'!$P$2,MIN($X43:$Z43),MIN($AE43,$AF43)),$AK43)</f>
        <v>227.9</v>
      </c>
      <c r="AM43" s="180">
        <f>IF($A43&gt;3,IF($A43&gt;'Semi-Results'!$P$2,(SUM($X43:$Z43)-MAX($X43:$Z43)-MIN($X43:$Z43)),MAX($AE43,$AF43)),$AK43)</f>
        <v>251.1</v>
      </c>
      <c r="AN43" s="180">
        <f>IF($A43&gt;3,IF($A43&gt;'Semi-Results'!$P$2,MAX($X43:$Z43),MAX($AE43,$AF43)),$AK43)</f>
        <v>9994</v>
      </c>
    </row>
    <row r="44" spans="1:40" ht="13.5">
      <c r="A44" s="229">
        <f t="shared" si="0"/>
        <v>36</v>
      </c>
      <c r="B44" s="320">
        <f>IF(($A44&gt;'Semi-Results'!$P$2),RésF2CeInd!B44,RésF2CsInd!B45)</f>
        <v>6</v>
      </c>
      <c r="C44" s="321" t="str">
        <f>VLOOKUP($B44,TempsF2Ce!$B$9:$N$89,2)</f>
        <v>NITSCHE H. / NITSCHE H.</v>
      </c>
      <c r="D44" s="322">
        <f>VLOOKUP($B44,TempsF2Ce!$B$9:$N$89,3)</f>
        <v>0</v>
      </c>
      <c r="E44" s="10" t="str">
        <f>VLOOKUP($B44,TempsF2Ce!$B$9:$N$89,4)</f>
        <v>AUT</v>
      </c>
      <c r="F44" s="350"/>
      <c r="G44" s="306"/>
      <c r="H44" s="374">
        <f t="shared" si="8"/>
        <v>66</v>
      </c>
      <c r="I44" s="306"/>
      <c r="J44" s="306"/>
      <c r="K44" s="373" t="str">
        <f t="shared" si="11"/>
        <v>DISQ</v>
      </c>
      <c r="L44" s="263">
        <f t="shared" si="17"/>
        <v>3</v>
      </c>
      <c r="M44" s="263" t="str">
        <f t="shared" si="18"/>
        <v>:</v>
      </c>
      <c r="N44" s="391">
        <f t="shared" si="12"/>
        <v>53.80000000000001</v>
      </c>
      <c r="W44" s="403"/>
      <c r="X44" s="346">
        <f>VLOOKUP($B44,TempsF2Ce!$B$9:$AA$89,23)</f>
        <v>9934</v>
      </c>
      <c r="Y44" s="346">
        <f>VLOOKUP($B44,TempsF2Ce!$B$9:$AA$89,24)</f>
        <v>1000000</v>
      </c>
      <c r="Z44" s="346">
        <f>VLOOKUP($B44,TempsF2Ce!$B$9:$AA$89,25)</f>
        <v>233.8</v>
      </c>
      <c r="AA44" s="180">
        <f t="shared" si="14"/>
        <v>233.8</v>
      </c>
      <c r="AB44" s="180">
        <f t="shared" si="15"/>
        <v>9934.000000000047</v>
      </c>
      <c r="AC44" s="180">
        <f t="shared" si="16"/>
        <v>1000000</v>
      </c>
      <c r="AD44" s="180">
        <f>IF($A44&gt;'Semi-Results'!$P$2,"",MIN($AE44,$AF44))</f>
      </c>
      <c r="AE44" s="346">
        <f>IF($A44&gt;'Semi-Results'!$P$2,"",VLOOKUP($B44,'Semi-Results'!$B$9:$AA$100,23))</f>
      </c>
      <c r="AF44" s="346">
        <f>IF($A44&gt;'Semi-Results'!$P$2,"",VLOOKUP($B44,'Semi-Results'!$B$9:$AA$100,24))</f>
      </c>
      <c r="AG44" s="180">
        <f>IF($A44&gt;'Semi-Results'!$P$2,($AA44+10000000),MIN($AE44,$AF44))</f>
        <v>10000233.8</v>
      </c>
      <c r="AH44" s="142">
        <f>IF($A44&gt;'Semi-Results'!$P$2,($AA44+10000000),MAX($AE44,$AF44))</f>
        <v>10000233.8</v>
      </c>
      <c r="AI44" s="142">
        <f>IF($A44&gt;'Semi-Results'!$P$2,($AA44+10000000),$B44)</f>
        <v>10000233.8</v>
      </c>
      <c r="AJ44" s="142"/>
      <c r="AK44" s="346">
        <f>IF($A44&gt;'Semi-Results'!$P$2,"",VLOOKUP($B44,'Semi-Results'!$B$9:$AE$100,29))</f>
      </c>
      <c r="AL44" s="180">
        <f>IF($A44&gt;3,IF($A44&gt;'Semi-Results'!$P$2,MIN($X44:$Z44),MIN($AE44,$AF44)),$AK44)</f>
        <v>233.8</v>
      </c>
      <c r="AM44" s="180">
        <f>IF($A44&gt;3,IF($A44&gt;'Semi-Results'!$P$2,(SUM($X44:$Z44)-MAX($X44:$Z44)-MIN($X44:$Z44)),MAX($AE44,$AF44)),$AK44)</f>
        <v>9934.000000000047</v>
      </c>
      <c r="AN44" s="180">
        <f>IF($A44&gt;3,IF($A44&gt;'Semi-Results'!$P$2,MAX($X44:$Z44),MAX($AE44,$AF44)),$AK44)</f>
        <v>1000000</v>
      </c>
    </row>
    <row r="45" spans="1:40" ht="13.5">
      <c r="A45" s="229">
        <f t="shared" si="0"/>
        <v>37</v>
      </c>
      <c r="B45" s="320">
        <f>IF(($A45&gt;'Semi-Results'!$P$2),RésF2CeInd!B45,RésF2CsInd!B46)</f>
        <v>22</v>
      </c>
      <c r="C45" s="321" t="str">
        <f>VLOOKUP($B45,TempsF2Ce!$B$9:$N$89,2)</f>
        <v>ORVOS F. / NAGY Z.</v>
      </c>
      <c r="D45" s="322">
        <f>VLOOKUP($B45,TempsF2Ce!$B$9:$N$89,3)</f>
        <v>0</v>
      </c>
      <c r="E45" s="10" t="str">
        <f>VLOOKUP($B45,TempsF2Ce!$B$9:$N$89,4)</f>
        <v>HUN</v>
      </c>
      <c r="F45" s="392">
        <f t="shared" si="6"/>
        <v>3</v>
      </c>
      <c r="G45" s="263" t="str">
        <f t="shared" si="7"/>
        <v>:</v>
      </c>
      <c r="H45" s="393">
        <f t="shared" si="8"/>
        <v>55.099999999999994</v>
      </c>
      <c r="I45" s="306"/>
      <c r="J45" s="306"/>
      <c r="K45" s="374">
        <f t="shared" si="11"/>
        <v>71</v>
      </c>
      <c r="L45" s="306"/>
      <c r="M45" s="306"/>
      <c r="N45" s="376" t="str">
        <f t="shared" si="12"/>
        <v>DISQ</v>
      </c>
      <c r="W45" s="403"/>
      <c r="X45" s="346">
        <f>VLOOKUP($B45,TempsF2Ce!$B$9:$AA$89,23)</f>
        <v>235.1</v>
      </c>
      <c r="Y45" s="346">
        <f>VLOOKUP($B45,TempsF2Ce!$B$9:$AA$89,24)</f>
        <v>9929</v>
      </c>
      <c r="Z45" s="346">
        <f>VLOOKUP($B45,TempsF2Ce!$B$9:$AA$89,25)</f>
        <v>1000000</v>
      </c>
      <c r="AA45" s="180">
        <f t="shared" si="14"/>
        <v>235.1</v>
      </c>
      <c r="AB45" s="180">
        <f t="shared" si="15"/>
        <v>9928.999999999976</v>
      </c>
      <c r="AC45" s="180">
        <f t="shared" si="16"/>
        <v>1000000</v>
      </c>
      <c r="AD45" s="180">
        <f>IF($A45&gt;'Semi-Results'!$P$2,"",MIN($AE45,$AF45))</f>
      </c>
      <c r="AE45" s="346">
        <f>IF($A45&gt;'Semi-Results'!$P$2,"",VLOOKUP($B45,'Semi-Results'!$B$9:$AA$100,23))</f>
      </c>
      <c r="AF45" s="346">
        <f>IF($A45&gt;'Semi-Results'!$P$2,"",VLOOKUP($B45,'Semi-Results'!$B$9:$AA$100,24))</f>
      </c>
      <c r="AG45" s="180">
        <f>IF($A45&gt;'Semi-Results'!$P$2,($AA45+10000000),MIN($AE45,$AF45))</f>
        <v>10000235.1</v>
      </c>
      <c r="AH45" s="142">
        <f>IF($A45&gt;'Semi-Results'!$P$2,($AA45+10000000),MAX($AE45,$AF45))</f>
        <v>10000235.1</v>
      </c>
      <c r="AI45" s="142">
        <f>IF($A45&gt;'Semi-Results'!$P$2,($AA45+10000000),$B45)</f>
        <v>10000235.1</v>
      </c>
      <c r="AJ45" s="142"/>
      <c r="AK45" s="346">
        <f>IF($A45&gt;'Semi-Results'!$P$2,"",VLOOKUP($B45,'Semi-Results'!$B$9:$AE$100,29))</f>
      </c>
      <c r="AL45" s="180">
        <f>IF($A45&gt;3,IF($A45&gt;'Semi-Results'!$P$2,MIN($X45:$Z45),MIN($AE45,$AF45)),$AK45)</f>
        <v>235.1</v>
      </c>
      <c r="AM45" s="180">
        <f>IF($A45&gt;3,IF($A45&gt;'Semi-Results'!$P$2,(SUM($X45:$Z45)-MAX($X45:$Z45)-MIN($X45:$Z45)),MAX($AE45,$AF45)),$AK45)</f>
        <v>9928.999999999976</v>
      </c>
      <c r="AN45" s="180">
        <f>IF($A45&gt;3,IF($A45&gt;'Semi-Results'!$P$2,MAX($X45:$Z45),MAX($AE45,$AF45)),$AK45)</f>
        <v>1000000</v>
      </c>
    </row>
    <row r="46" spans="1:40" ht="13.5">
      <c r="A46" s="229">
        <f t="shared" si="0"/>
        <v>38</v>
      </c>
      <c r="B46" s="320">
        <f>IF(($A46&gt;'Semi-Results'!$P$2),RésF2CeInd!B46,RésF2CsInd!B47)</f>
        <v>16</v>
      </c>
      <c r="C46" s="321" t="str">
        <f>VLOOKUP($B46,TempsF2Ce!$B$9:$N$89,2)</f>
        <v>BUCCI L. / PERRET C.</v>
      </c>
      <c r="D46" s="322" t="str">
        <f>VLOOKUP($B46,TempsF2Ce!$B$9:$N$89,3)</f>
        <v>Jun</v>
      </c>
      <c r="E46" s="10" t="str">
        <f>VLOOKUP($B46,TempsF2Ce!$B$9:$N$89,4)</f>
        <v>FRA</v>
      </c>
      <c r="F46" s="350"/>
      <c r="G46" s="306"/>
      <c r="H46" s="374">
        <f t="shared" si="8"/>
        <v>19</v>
      </c>
      <c r="I46" s="263">
        <f t="shared" si="9"/>
        <v>3</v>
      </c>
      <c r="J46" s="263" t="str">
        <f t="shared" si="10"/>
        <v>:</v>
      </c>
      <c r="K46" s="393">
        <f t="shared" si="11"/>
        <v>55.19999999999999</v>
      </c>
      <c r="L46" s="306">
        <f t="shared" si="17"/>
        <v>4</v>
      </c>
      <c r="M46" s="306" t="str">
        <f t="shared" si="18"/>
        <v>:</v>
      </c>
      <c r="N46" s="288">
        <f t="shared" si="12"/>
        <v>14</v>
      </c>
      <c r="W46" s="403"/>
      <c r="X46" s="346">
        <f>VLOOKUP($B46,TempsF2Ce!$B$9:$AA$89,23)</f>
        <v>9981</v>
      </c>
      <c r="Y46" s="346">
        <f>VLOOKUP($B46,TempsF2Ce!$B$9:$AA$89,24)</f>
        <v>235.2</v>
      </c>
      <c r="Z46" s="346">
        <f>VLOOKUP($B46,TempsF2Ce!$B$9:$AA$89,25)</f>
        <v>254</v>
      </c>
      <c r="AA46" s="180">
        <f t="shared" si="14"/>
        <v>235.2</v>
      </c>
      <c r="AB46" s="180">
        <f t="shared" si="15"/>
        <v>254.00000000000074</v>
      </c>
      <c r="AC46" s="180">
        <f t="shared" si="16"/>
        <v>9981</v>
      </c>
      <c r="AD46" s="180">
        <f>IF($A46&gt;'Semi-Results'!$P$2,"",MIN($AE46,$AF46))</f>
      </c>
      <c r="AE46" s="346">
        <f>IF($A46&gt;'Semi-Results'!$P$2,"",VLOOKUP($B46,'Semi-Results'!$B$9:$AA$100,23))</f>
      </c>
      <c r="AF46" s="346">
        <f>IF($A46&gt;'Semi-Results'!$P$2,"",VLOOKUP($B46,'Semi-Results'!$B$9:$AA$100,24))</f>
      </c>
      <c r="AG46" s="180">
        <f>IF($A46&gt;'Semi-Results'!$P$2,($AA46+10000000),MIN($AE46,$AF46))</f>
        <v>10000235.2</v>
      </c>
      <c r="AH46" s="142">
        <f>IF($A46&gt;'Semi-Results'!$P$2,($AA46+10000000),MAX($AE46,$AF46))</f>
        <v>10000235.2</v>
      </c>
      <c r="AI46" s="142">
        <f>IF($A46&gt;'Semi-Results'!$P$2,($AA46+10000000),$B46)</f>
        <v>10000235.2</v>
      </c>
      <c r="AJ46" s="142"/>
      <c r="AK46" s="346">
        <f>IF($A46&gt;'Semi-Results'!$P$2,"",VLOOKUP($B46,'Semi-Results'!$B$9:$AE$100,29))</f>
      </c>
      <c r="AL46" s="180">
        <f>IF($A46&gt;3,IF($A46&gt;'Semi-Results'!$P$2,MIN($X46:$Z46),MIN($AE46,$AF46)),$AK46)</f>
        <v>235.2</v>
      </c>
      <c r="AM46" s="180">
        <f>IF($A46&gt;3,IF($A46&gt;'Semi-Results'!$P$2,(SUM($X46:$Z46)-MAX($X46:$Z46)-MIN($X46:$Z46)),MAX($AE46,$AF46)),$AK46)</f>
        <v>254.00000000000074</v>
      </c>
      <c r="AN46" s="180">
        <f>IF($A46&gt;3,IF($A46&gt;'Semi-Results'!$P$2,MAX($X46:$Z46),MAX($AE46,$AF46)),$AK46)</f>
        <v>9981</v>
      </c>
    </row>
    <row r="47" spans="1:40" ht="13.5">
      <c r="A47" s="229">
        <f t="shared" si="0"/>
        <v>39</v>
      </c>
      <c r="B47" s="320">
        <f>IF(($A47&gt;'Semi-Results'!$P$2),RésF2CeInd!B47,RésF2CsInd!B48)</f>
        <v>8</v>
      </c>
      <c r="C47" s="321" t="str">
        <f>VLOOKUP($B47,TempsF2Ce!$B$9:$N$89,2)</f>
        <v>FAIREY R. / FAIREY B. </v>
      </c>
      <c r="D47" s="322">
        <f>VLOOKUP($B47,TempsF2Ce!$B$9:$N$89,3)</f>
        <v>0</v>
      </c>
      <c r="E47" s="10" t="str">
        <f>VLOOKUP($B47,TempsF2Ce!$B$9:$N$89,4)</f>
        <v>CAN</v>
      </c>
      <c r="F47" s="350"/>
      <c r="G47" s="306"/>
      <c r="H47" s="374">
        <f t="shared" si="8"/>
        <v>67</v>
      </c>
      <c r="I47" s="263">
        <f t="shared" si="9"/>
        <v>3</v>
      </c>
      <c r="J47" s="263" t="str">
        <f t="shared" si="10"/>
        <v>:</v>
      </c>
      <c r="K47" s="393">
        <f t="shared" si="11"/>
        <v>56.900000000000006</v>
      </c>
      <c r="L47" s="306"/>
      <c r="M47" s="306"/>
      <c r="N47" s="377">
        <f t="shared" si="12"/>
      </c>
      <c r="W47" s="403"/>
      <c r="X47" s="346">
        <f>VLOOKUP($B47,TempsF2Ce!$B$9:$AA$89,23)</f>
        <v>9933</v>
      </c>
      <c r="Y47" s="346">
        <f>VLOOKUP($B47,TempsF2Ce!$B$9:$AA$89,24)</f>
        <v>236.9</v>
      </c>
      <c r="Z47" s="346">
        <f>VLOOKUP($B47,TempsF2Ce!$B$9:$AA$89,25)</f>
      </c>
      <c r="AA47" s="180">
        <f t="shared" si="14"/>
        <v>236.9</v>
      </c>
      <c r="AB47" s="180">
        <f t="shared" si="15"/>
        <v>-3.694822225952521E-13</v>
      </c>
      <c r="AC47" s="180">
        <f t="shared" si="16"/>
        <v>9933</v>
      </c>
      <c r="AD47" s="180">
        <f>IF($A47&gt;'Semi-Results'!$P$2,"",MIN($AE47,$AF47))</f>
      </c>
      <c r="AE47" s="346">
        <f>IF($A47&gt;'Semi-Results'!$P$2,"",VLOOKUP($B47,'Semi-Results'!$B$9:$AA$100,23))</f>
      </c>
      <c r="AF47" s="346">
        <f>IF($A47&gt;'Semi-Results'!$P$2,"",VLOOKUP($B47,'Semi-Results'!$B$9:$AA$100,24))</f>
      </c>
      <c r="AG47" s="180">
        <f>IF($A47&gt;'Semi-Results'!$P$2,($AA47+10000000),MIN($AE47,$AF47))</f>
        <v>10000236.9</v>
      </c>
      <c r="AH47" s="142">
        <f>IF($A47&gt;'Semi-Results'!$P$2,($AA47+10000000),MAX($AE47,$AF47))</f>
        <v>10000236.9</v>
      </c>
      <c r="AI47" s="142">
        <f>IF($A47&gt;'Semi-Results'!$P$2,($AA47+10000000),$B47)</f>
        <v>10000236.9</v>
      </c>
      <c r="AJ47" s="142"/>
      <c r="AK47" s="346">
        <f>IF($A47&gt;'Semi-Results'!$P$2,"",VLOOKUP($B47,'Semi-Results'!$B$9:$AE$100,29))</f>
      </c>
      <c r="AL47" s="180">
        <f>IF($A47&gt;3,IF($A47&gt;'Semi-Results'!$P$2,MIN($X47:$Z47),MIN($AE47,$AF47)),$AK47)</f>
        <v>236.9</v>
      </c>
      <c r="AM47" s="180">
        <f>IF($A47&gt;3,IF($A47&gt;'Semi-Results'!$P$2,(SUM($X47:$Z47)-MAX($X47:$Z47)-MIN($X47:$Z47)),MAX($AE47,$AF47)),$AK47)</f>
        <v>-3.694822225952521E-13</v>
      </c>
      <c r="AN47" s="180">
        <f>IF($A47&gt;3,IF($A47&gt;'Semi-Results'!$P$2,MAX($X47:$Z47),MAX($AE47,$AF47)),$AK47)</f>
        <v>9933</v>
      </c>
    </row>
    <row r="48" spans="1:40" ht="13.5">
      <c r="A48" s="229">
        <f t="shared" si="0"/>
        <v>40</v>
      </c>
      <c r="B48" s="320">
        <f>IF(($A48&gt;'Semi-Results'!$P$2),RésF2CeInd!B48,RésF2CsInd!B49)</f>
        <v>30</v>
      </c>
      <c r="C48" s="321" t="str">
        <f>VLOOKUP($B48,TempsF2Ce!$B$9:$N$89,2)</f>
        <v>CONTENTE A. / SECO F.</v>
      </c>
      <c r="D48" s="322">
        <f>VLOOKUP($B48,TempsF2Ce!$B$9:$N$89,3)</f>
        <v>0</v>
      </c>
      <c r="E48" s="10" t="str">
        <f>VLOOKUP($B48,TempsF2Ce!$B$9:$N$89,4)</f>
        <v>POR</v>
      </c>
      <c r="F48" s="392">
        <f t="shared" si="6"/>
        <v>3</v>
      </c>
      <c r="G48" s="263" t="str">
        <f t="shared" si="7"/>
        <v>:</v>
      </c>
      <c r="H48" s="393">
        <f t="shared" si="8"/>
        <v>57.19999999999999</v>
      </c>
      <c r="I48" s="306">
        <f t="shared" si="9"/>
        <v>4</v>
      </c>
      <c r="J48" s="306" t="str">
        <f t="shared" si="10"/>
        <v>:</v>
      </c>
      <c r="K48" s="297">
        <f t="shared" si="11"/>
        <v>9.699999999999989</v>
      </c>
      <c r="L48" s="306">
        <f t="shared" si="17"/>
        <v>3</v>
      </c>
      <c r="M48" s="306" t="str">
        <f t="shared" si="18"/>
        <v>:</v>
      </c>
      <c r="N48" s="288">
        <f t="shared" si="12"/>
        <v>57.30000000000001</v>
      </c>
      <c r="W48" s="403"/>
      <c r="X48" s="346">
        <f>VLOOKUP($B48,TempsF2Ce!$B$9:$AA$89,23)</f>
        <v>237.2</v>
      </c>
      <c r="Y48" s="346">
        <f>VLOOKUP($B48,TempsF2Ce!$B$9:$AA$89,24)</f>
        <v>249.7</v>
      </c>
      <c r="Z48" s="346">
        <f>VLOOKUP($B48,TempsF2Ce!$B$9:$AA$89,25)</f>
        <v>237.3</v>
      </c>
      <c r="AA48" s="180">
        <f t="shared" si="14"/>
        <v>237.2</v>
      </c>
      <c r="AB48" s="180">
        <f t="shared" si="15"/>
        <v>237.30000000000007</v>
      </c>
      <c r="AC48" s="180">
        <f t="shared" si="16"/>
        <v>249.7</v>
      </c>
      <c r="AD48" s="180">
        <f>IF($A48&gt;'Semi-Results'!$P$2,"",MIN($AE48,$AF48))</f>
      </c>
      <c r="AE48" s="346">
        <f>IF($A48&gt;'Semi-Results'!$P$2,"",VLOOKUP($B48,'Semi-Results'!$B$9:$AA$100,23))</f>
      </c>
      <c r="AF48" s="346">
        <f>IF($A48&gt;'Semi-Results'!$P$2,"",VLOOKUP($B48,'Semi-Results'!$B$9:$AA$100,24))</f>
      </c>
      <c r="AG48" s="180">
        <f>IF($A48&gt;'Semi-Results'!$P$2,($AA48+10000000),MIN($AE48,$AF48))</f>
        <v>10000237.2</v>
      </c>
      <c r="AH48" s="142">
        <f>IF($A48&gt;'Semi-Results'!$P$2,($AA48+10000000),MAX($AE48,$AF48))</f>
        <v>10000237.2</v>
      </c>
      <c r="AI48" s="142">
        <f>IF($A48&gt;'Semi-Results'!$P$2,($AA48+10000000),$B48)</f>
        <v>10000237.2</v>
      </c>
      <c r="AJ48" s="142"/>
      <c r="AK48" s="346">
        <f>IF($A48&gt;'Semi-Results'!$P$2,"",VLOOKUP($B48,'Semi-Results'!$B$9:$AE$100,29))</f>
      </c>
      <c r="AL48" s="180">
        <f>IF($A48&gt;3,IF($A48&gt;'Semi-Results'!$P$2,MIN($X48:$Z48),MIN($AE48,$AF48)),$AK48)</f>
        <v>237.2</v>
      </c>
      <c r="AM48" s="180">
        <f>IF($A48&gt;3,IF($A48&gt;'Semi-Results'!$P$2,(SUM($X48:$Z48)-MAX($X48:$Z48)-MIN($X48:$Z48)),MAX($AE48,$AF48)),$AK48)</f>
        <v>237.30000000000007</v>
      </c>
      <c r="AN48" s="180">
        <f>IF($A48&gt;3,IF($A48&gt;'Semi-Results'!$P$2,MAX($X48:$Z48),MAX($AE48,$AF48)),$AK48)</f>
        <v>249.7</v>
      </c>
    </row>
    <row r="49" spans="1:40" ht="13.5">
      <c r="A49" s="229">
        <f t="shared" si="0"/>
        <v>41</v>
      </c>
      <c r="B49" s="320">
        <f>IF(($A49&gt;'Semi-Results'!$P$2),RésF2CeInd!B49,RésF2CsInd!B50)</f>
        <v>37</v>
      </c>
      <c r="C49" s="321" t="str">
        <f>VLOOKUP($B49,TempsF2Ce!$B$9:$N$89,2)</f>
        <v>ONG R. / SU D.</v>
      </c>
      <c r="D49" s="322">
        <f>VLOOKUP($B49,TempsF2Ce!$B$9:$N$89,3)</f>
        <v>0</v>
      </c>
      <c r="E49" s="10" t="str">
        <f>VLOOKUP($B49,TempsF2Ce!$B$9:$N$89,4)</f>
        <v>SIN</v>
      </c>
      <c r="F49" s="350"/>
      <c r="G49" s="306"/>
      <c r="H49" s="374">
        <f t="shared" si="8"/>
        <v>36</v>
      </c>
      <c r="I49" s="306"/>
      <c r="J49" s="306"/>
      <c r="K49" s="374">
        <f t="shared" si="11"/>
        <v>34</v>
      </c>
      <c r="L49" s="263">
        <f t="shared" si="17"/>
        <v>4</v>
      </c>
      <c r="M49" s="263" t="str">
        <f t="shared" si="18"/>
        <v>:</v>
      </c>
      <c r="N49" s="391">
        <f t="shared" si="12"/>
        <v>5</v>
      </c>
      <c r="W49" s="403"/>
      <c r="X49" s="346">
        <f>VLOOKUP($B49,TempsF2Ce!$B$9:$AA$89,23)</f>
        <v>9964</v>
      </c>
      <c r="Y49" s="346">
        <f>VLOOKUP($B49,TempsF2Ce!$B$9:$AA$89,24)</f>
        <v>9966</v>
      </c>
      <c r="Z49" s="346">
        <f>VLOOKUP($B49,TempsF2Ce!$B$9:$AA$89,25)</f>
        <v>245</v>
      </c>
      <c r="AA49" s="180">
        <f t="shared" si="14"/>
        <v>245</v>
      </c>
      <c r="AB49" s="180">
        <f t="shared" si="15"/>
        <v>9964</v>
      </c>
      <c r="AC49" s="180">
        <f t="shared" si="16"/>
        <v>9966</v>
      </c>
      <c r="AD49" s="180">
        <f>IF($A49&gt;'Semi-Results'!$P$2,"",MIN($AE49,$AF49))</f>
      </c>
      <c r="AE49" s="346">
        <f>IF($A49&gt;'Semi-Results'!$P$2,"",VLOOKUP($B49,'Semi-Results'!$B$9:$AA$100,23))</f>
      </c>
      <c r="AF49" s="346">
        <f>IF($A49&gt;'Semi-Results'!$P$2,"",VLOOKUP($B49,'Semi-Results'!$B$9:$AA$100,24))</f>
      </c>
      <c r="AG49" s="180">
        <f>IF($A49&gt;'Semi-Results'!$P$2,($AA49+10000000),MIN($AE49,$AF49))</f>
        <v>10000245</v>
      </c>
      <c r="AH49" s="142">
        <f>IF($A49&gt;'Semi-Results'!$P$2,($AA49+10000000),MAX($AE49,$AF49))</f>
        <v>10000245</v>
      </c>
      <c r="AI49" s="142">
        <f>IF($A49&gt;'Semi-Results'!$P$2,($AA49+10000000),$B49)</f>
        <v>10000245</v>
      </c>
      <c r="AJ49" s="142"/>
      <c r="AK49" s="346">
        <f>IF($A49&gt;'Semi-Results'!$P$2,"",VLOOKUP($B49,'Semi-Results'!$B$9:$AE$100,29))</f>
      </c>
      <c r="AL49" s="180">
        <f>IF($A49&gt;3,IF($A49&gt;'Semi-Results'!$P$2,MIN($X49:$Z49),MIN($AE49,$AF49)),$AK49)</f>
        <v>245</v>
      </c>
      <c r="AM49" s="180">
        <f>IF($A49&gt;3,IF($A49&gt;'Semi-Results'!$P$2,(SUM($X49:$Z49)-MAX($X49:$Z49)-MIN($X49:$Z49)),MAX($AE49,$AF49)),$AK49)</f>
        <v>9964</v>
      </c>
      <c r="AN49" s="180">
        <f>IF($A49&gt;3,IF($A49&gt;'Semi-Results'!$P$2,MAX($X49:$Z49),MAX($AE49,$AF49)),$AK49)</f>
        <v>9966</v>
      </c>
    </row>
    <row r="50" spans="1:40" ht="13.5">
      <c r="A50" s="229">
        <f t="shared" si="0"/>
        <v>42</v>
      </c>
      <c r="B50" s="320">
        <f>IF(($A50&gt;'Semi-Results'!$P$2),RésF2CeInd!B50,RésF2CsInd!B51)</f>
        <v>35</v>
      </c>
      <c r="C50" s="321" t="str">
        <f>VLOOKUP($B50,TempsF2Ce!$B$9:$N$89,2)</f>
        <v>USTINOV D. / ORESHKINE A.</v>
      </c>
      <c r="D50" s="322" t="str">
        <f>VLOOKUP($B50,TempsF2Ce!$B$9:$N$89,3)</f>
        <v>Jun</v>
      </c>
      <c r="E50" s="10" t="str">
        <f>VLOOKUP($B50,TempsF2Ce!$B$9:$N$89,4)</f>
        <v>RUS</v>
      </c>
      <c r="F50" s="350"/>
      <c r="G50" s="306"/>
      <c r="H50" s="373" t="str">
        <f t="shared" si="8"/>
        <v>DISQ</v>
      </c>
      <c r="I50" s="306"/>
      <c r="J50" s="306"/>
      <c r="K50" s="373" t="str">
        <f t="shared" si="11"/>
        <v>DISQ</v>
      </c>
      <c r="L50" s="263">
        <f t="shared" si="17"/>
        <v>4</v>
      </c>
      <c r="M50" s="263" t="str">
        <f t="shared" si="18"/>
        <v>:</v>
      </c>
      <c r="N50" s="391">
        <f t="shared" si="12"/>
        <v>8.800000000000011</v>
      </c>
      <c r="W50" s="403"/>
      <c r="X50" s="346">
        <f>VLOOKUP($B50,TempsF2Ce!$B$9:$AA$89,23)</f>
        <v>1000000</v>
      </c>
      <c r="Y50" s="346">
        <f>VLOOKUP($B50,TempsF2Ce!$B$9:$AA$89,24)</f>
        <v>1000000</v>
      </c>
      <c r="Z50" s="346">
        <f>VLOOKUP($B50,TempsF2Ce!$B$9:$AA$89,25)</f>
        <v>248.8</v>
      </c>
      <c r="AA50" s="180">
        <f t="shared" si="14"/>
        <v>248.8</v>
      </c>
      <c r="AB50" s="180">
        <f t="shared" si="15"/>
        <v>1000000</v>
      </c>
      <c r="AC50" s="180">
        <f t="shared" si="16"/>
        <v>1000000</v>
      </c>
      <c r="AD50" s="180">
        <f>IF($A50&gt;'Semi-Results'!$P$2,"",MIN($AE50,$AF50))</f>
      </c>
      <c r="AE50" s="346">
        <f>IF($A50&gt;'Semi-Results'!$P$2,"",VLOOKUP($B50,'Semi-Results'!$B$9:$AA$100,23))</f>
      </c>
      <c r="AF50" s="346">
        <f>IF($A50&gt;'Semi-Results'!$P$2,"",VLOOKUP($B50,'Semi-Results'!$B$9:$AA$100,24))</f>
      </c>
      <c r="AG50" s="180">
        <f>IF($A50&gt;'Semi-Results'!$P$2,($AA50+10000000),MIN($AE50,$AF50))</f>
        <v>10000248.8</v>
      </c>
      <c r="AH50" s="142">
        <f>IF($A50&gt;'Semi-Results'!$P$2,($AA50+10000000),MAX($AE50,$AF50))</f>
        <v>10000248.8</v>
      </c>
      <c r="AI50" s="142">
        <f>IF($A50&gt;'Semi-Results'!$P$2,($AA50+10000000),$B50)</f>
        <v>10000248.8</v>
      </c>
      <c r="AJ50" s="142"/>
      <c r="AK50" s="346">
        <f>IF($A50&gt;'Semi-Results'!$P$2,"",VLOOKUP($B50,'Semi-Results'!$B$9:$AE$100,29))</f>
      </c>
      <c r="AL50" s="180">
        <f>IF($A50&gt;3,IF($A50&gt;'Semi-Results'!$P$2,MIN($X50:$Z50),MIN($AE50,$AF50)),$AK50)</f>
        <v>248.8</v>
      </c>
      <c r="AM50" s="180">
        <f>IF($A50&gt;3,IF($A50&gt;'Semi-Results'!$P$2,(SUM($X50:$Z50)-MAX($X50:$Z50)-MIN($X50:$Z50)),MAX($AE50,$AF50)),$AK50)</f>
        <v>1000000</v>
      </c>
      <c r="AN50" s="180">
        <f>IF($A50&gt;3,IF($A50&gt;'Semi-Results'!$P$2,MAX($X50:$Z50),MAX($AE50,$AF50)),$AK50)</f>
        <v>1000000</v>
      </c>
    </row>
    <row r="51" spans="1:40" ht="13.5">
      <c r="A51" s="229">
        <f t="shared" si="0"/>
        <v>43</v>
      </c>
      <c r="B51" s="320">
        <f>IF(($A51&gt;'Semi-Results'!$P$2),RésF2CeInd!B51,RésF2CsInd!B52)</f>
        <v>51</v>
      </c>
      <c r="C51" s="321" t="str">
        <f>VLOOKUP($B51,TempsF2Ce!$B$9:$N$89,2)</f>
        <v>WILLOUGHBY S. / OGE B.</v>
      </c>
      <c r="D51" s="322">
        <f>VLOOKUP($B51,TempsF2Ce!$B$9:$N$89,3)</f>
        <v>0</v>
      </c>
      <c r="E51" s="10" t="str">
        <f>VLOOKUP($B51,TempsF2Ce!$B$9:$N$89,4)</f>
        <v>USA</v>
      </c>
      <c r="F51" s="350">
        <f t="shared" si="6"/>
        <v>4</v>
      </c>
      <c r="G51" s="306" t="str">
        <f t="shared" si="7"/>
        <v>:</v>
      </c>
      <c r="H51" s="297">
        <f t="shared" si="8"/>
        <v>30.399999999999977</v>
      </c>
      <c r="I51" s="306"/>
      <c r="J51" s="306"/>
      <c r="K51" s="374">
        <f t="shared" si="11"/>
        <v>35</v>
      </c>
      <c r="L51" s="263">
        <f t="shared" si="17"/>
        <v>4</v>
      </c>
      <c r="M51" s="263" t="str">
        <f t="shared" si="18"/>
        <v>:</v>
      </c>
      <c r="N51" s="391">
        <f t="shared" si="12"/>
        <v>9.800000000000011</v>
      </c>
      <c r="W51" s="403"/>
      <c r="X51" s="346">
        <f>VLOOKUP($B51,TempsF2Ce!$B$9:$AA$89,23)</f>
        <v>270.4</v>
      </c>
      <c r="Y51" s="346">
        <f>VLOOKUP($B51,TempsF2Ce!$B$9:$AA$89,24)</f>
        <v>9965</v>
      </c>
      <c r="Z51" s="346">
        <f>VLOOKUP($B51,TempsF2Ce!$B$9:$AA$89,25)</f>
        <v>249.8</v>
      </c>
      <c r="AA51" s="180">
        <f t="shared" si="14"/>
        <v>249.8</v>
      </c>
      <c r="AB51" s="180">
        <f t="shared" si="15"/>
        <v>270.3999999999989</v>
      </c>
      <c r="AC51" s="180">
        <f t="shared" si="16"/>
        <v>9965</v>
      </c>
      <c r="AD51" s="180">
        <f>IF($A51&gt;'Semi-Results'!$P$2,"",MIN($AE51,$AF51))</f>
      </c>
      <c r="AE51" s="346">
        <f>IF($A51&gt;'Semi-Results'!$P$2,"",VLOOKUP($B51,'Semi-Results'!$B$9:$AA$100,23))</f>
      </c>
      <c r="AF51" s="346">
        <f>IF($A51&gt;'Semi-Results'!$P$2,"",VLOOKUP($B51,'Semi-Results'!$B$9:$AA$100,24))</f>
      </c>
      <c r="AG51" s="180">
        <f>IF($A51&gt;'Semi-Results'!$P$2,($AA51+10000000),MIN($AE51,$AF51))</f>
        <v>10000249.8</v>
      </c>
      <c r="AH51" s="142">
        <f>IF($A51&gt;'Semi-Results'!$P$2,($AA51+10000000),MAX($AE51,$AF51))</f>
        <v>10000249.8</v>
      </c>
      <c r="AI51" s="142">
        <f>IF($A51&gt;'Semi-Results'!$P$2,($AA51+10000000),$B51)</f>
        <v>10000249.8</v>
      </c>
      <c r="AJ51" s="142"/>
      <c r="AK51" s="346">
        <f>IF($A51&gt;'Semi-Results'!$P$2,"",VLOOKUP($B51,'Semi-Results'!$B$9:$AE$100,29))</f>
      </c>
      <c r="AL51" s="180">
        <f>IF($A51&gt;3,IF($A51&gt;'Semi-Results'!$P$2,MIN($X51:$Z51),MIN($AE51,$AF51)),$AK51)</f>
        <v>249.8</v>
      </c>
      <c r="AM51" s="180">
        <f>IF($A51&gt;3,IF($A51&gt;'Semi-Results'!$P$2,(SUM($X51:$Z51)-MAX($X51:$Z51)-MIN($X51:$Z51)),MAX($AE51,$AF51)),$AK51)</f>
        <v>270.3999999999989</v>
      </c>
      <c r="AN51" s="180">
        <f>IF($A51&gt;3,IF($A51&gt;'Semi-Results'!$P$2,MAX($X51:$Z51),MAX($AE51,$AF51)),$AK51)</f>
        <v>9965</v>
      </c>
    </row>
    <row r="52" spans="1:40" ht="13.5">
      <c r="A52" s="229">
        <f t="shared" si="0"/>
        <v>44</v>
      </c>
      <c r="B52" s="320">
        <f>IF(($A52&gt;'Semi-Results'!$P$2),RésF2CeInd!B52,RésF2CsInd!B53)</f>
        <v>9</v>
      </c>
      <c r="C52" s="321" t="str">
        <f>VLOOKUP($B52,TempsF2Ce!$B$9:$N$89,2)</f>
        <v>JAREBEK J. / PARENT K.</v>
      </c>
      <c r="D52" s="322">
        <f>VLOOKUP($B52,TempsF2Ce!$B$9:$N$89,3)</f>
        <v>0</v>
      </c>
      <c r="E52" s="10" t="str">
        <f>VLOOKUP($B52,TempsF2Ce!$B$9:$N$89,4)</f>
        <v>CAN</v>
      </c>
      <c r="F52" s="392">
        <f t="shared" si="6"/>
        <v>4</v>
      </c>
      <c r="G52" s="263" t="str">
        <f t="shared" si="7"/>
        <v>:</v>
      </c>
      <c r="H52" s="393">
        <f t="shared" si="8"/>
        <v>10.300000000000011</v>
      </c>
      <c r="I52" s="306"/>
      <c r="J52" s="306"/>
      <c r="K52" s="373" t="str">
        <f t="shared" si="11"/>
        <v>DISQ</v>
      </c>
      <c r="L52" s="306">
        <f t="shared" si="17"/>
        <v>4</v>
      </c>
      <c r="M52" s="306" t="str">
        <f t="shared" si="18"/>
        <v>:</v>
      </c>
      <c r="N52" s="288">
        <f t="shared" si="12"/>
        <v>45.19999999999999</v>
      </c>
      <c r="W52" s="403"/>
      <c r="X52" s="346">
        <f>VLOOKUP($B52,TempsF2Ce!$B$9:$AA$89,23)</f>
        <v>250.3</v>
      </c>
      <c r="Y52" s="346">
        <f>VLOOKUP($B52,TempsF2Ce!$B$9:$AA$89,24)</f>
        <v>1000000</v>
      </c>
      <c r="Z52" s="346">
        <f>VLOOKUP($B52,TempsF2Ce!$B$9:$AA$89,25)</f>
        <v>285.2</v>
      </c>
      <c r="AA52" s="180">
        <f t="shared" si="14"/>
        <v>250.3</v>
      </c>
      <c r="AB52" s="180">
        <f t="shared" si="15"/>
        <v>285.2</v>
      </c>
      <c r="AC52" s="180">
        <f t="shared" si="16"/>
        <v>1000000</v>
      </c>
      <c r="AD52" s="180">
        <f>IF($A52&gt;'Semi-Results'!$P$2,"",MIN($AE52,$AF52))</f>
      </c>
      <c r="AE52" s="346">
        <f>IF($A52&gt;'Semi-Results'!$P$2,"",VLOOKUP($B52,'Semi-Results'!$B$9:$AA$100,23))</f>
      </c>
      <c r="AF52" s="346">
        <f>IF($A52&gt;'Semi-Results'!$P$2,"",VLOOKUP($B52,'Semi-Results'!$B$9:$AA$100,24))</f>
      </c>
      <c r="AG52" s="180">
        <f>IF($A52&gt;'Semi-Results'!$P$2,($AA52+10000000),MIN($AE52,$AF52))</f>
        <v>10000250.3</v>
      </c>
      <c r="AH52" s="142">
        <f>IF($A52&gt;'Semi-Results'!$P$2,($AA52+10000000),MAX($AE52,$AF52))</f>
        <v>10000250.3</v>
      </c>
      <c r="AI52" s="142">
        <f>IF($A52&gt;'Semi-Results'!$P$2,($AA52+10000000),$B52)</f>
        <v>10000250.3</v>
      </c>
      <c r="AJ52" s="142"/>
      <c r="AK52" s="346">
        <f>IF($A52&gt;'Semi-Results'!$P$2,"",VLOOKUP($B52,'Semi-Results'!$B$9:$AE$100,29))</f>
      </c>
      <c r="AL52" s="180">
        <f>IF($A52&gt;3,IF($A52&gt;'Semi-Results'!$P$2,MIN($X52:$Z52),MIN($AE52,$AF52)),$AK52)</f>
        <v>250.3</v>
      </c>
      <c r="AM52" s="180">
        <f>IF($A52&gt;3,IF($A52&gt;'Semi-Results'!$P$2,(SUM($X52:$Z52)-MAX($X52:$Z52)-MIN($X52:$Z52)),MAX($AE52,$AF52)),$AK52)</f>
        <v>285.2</v>
      </c>
      <c r="AN52" s="180">
        <f>IF($A52&gt;3,IF($A52&gt;'Semi-Results'!$P$2,MAX($X52:$Z52),MAX($AE52,$AF52)),$AK52)</f>
        <v>1000000</v>
      </c>
    </row>
    <row r="53" spans="1:40" ht="13.5">
      <c r="A53" s="229">
        <f t="shared" si="0"/>
        <v>45</v>
      </c>
      <c r="B53" s="320">
        <f>IF(($A53&gt;'Semi-Results'!$P$2),RésF2CeInd!B53,RésF2CsInd!B54)</f>
        <v>38</v>
      </c>
      <c r="C53" s="321" t="str">
        <f>VLOOKUP($B53,TempsF2Ce!$B$9:$N$89,2)</f>
        <v>SATHA S. / WEE C.</v>
      </c>
      <c r="D53" s="322">
        <f>VLOOKUP($B53,TempsF2Ce!$B$9:$N$89,3)</f>
        <v>0</v>
      </c>
      <c r="E53" s="10" t="str">
        <f>VLOOKUP($B53,TempsF2Ce!$B$9:$N$89,4)</f>
        <v>SIN</v>
      </c>
      <c r="F53" s="350"/>
      <c r="G53" s="306"/>
      <c r="H53" s="373" t="str">
        <f t="shared" si="8"/>
        <v>DISQ</v>
      </c>
      <c r="I53" s="263">
        <f t="shared" si="9"/>
        <v>4</v>
      </c>
      <c r="J53" s="263" t="str">
        <f t="shared" si="10"/>
        <v>:</v>
      </c>
      <c r="K53" s="393">
        <f t="shared" si="11"/>
        <v>15.5</v>
      </c>
      <c r="L53" s="306"/>
      <c r="M53" s="306"/>
      <c r="N53" s="376" t="str">
        <f t="shared" si="12"/>
        <v>DISQ</v>
      </c>
      <c r="W53" s="403"/>
      <c r="X53" s="346">
        <f>VLOOKUP($B53,TempsF2Ce!$B$9:$AA$89,23)</f>
        <v>1000000</v>
      </c>
      <c r="Y53" s="346">
        <f>VLOOKUP($B53,TempsF2Ce!$B$9:$AA$89,24)</f>
        <v>255.5</v>
      </c>
      <c r="Z53" s="346">
        <f>VLOOKUP($B53,TempsF2Ce!$B$9:$AA$89,25)</f>
        <v>1000000</v>
      </c>
      <c r="AA53" s="180">
        <f t="shared" si="14"/>
        <v>255.5</v>
      </c>
      <c r="AB53" s="180">
        <f t="shared" si="15"/>
        <v>1000000</v>
      </c>
      <c r="AC53" s="180">
        <f t="shared" si="16"/>
        <v>1000000</v>
      </c>
      <c r="AD53" s="180">
        <f>IF($A53&gt;'Semi-Results'!$P$2,"",MIN($AE53,$AF53))</f>
      </c>
      <c r="AE53" s="346">
        <f>IF($A53&gt;'Semi-Results'!$P$2,"",VLOOKUP($B53,'Semi-Results'!$B$9:$AA$100,23))</f>
      </c>
      <c r="AF53" s="346">
        <f>IF($A53&gt;'Semi-Results'!$P$2,"",VLOOKUP($B53,'Semi-Results'!$B$9:$AA$100,24))</f>
      </c>
      <c r="AG53" s="180">
        <f>IF($A53&gt;'Semi-Results'!$P$2,($AA53+10000000),MIN($AE53,$AF53))</f>
        <v>10000255.5</v>
      </c>
      <c r="AH53" s="142">
        <f>IF($A53&gt;'Semi-Results'!$P$2,($AA53+10000000),MAX($AE53,$AF53))</f>
        <v>10000255.5</v>
      </c>
      <c r="AI53" s="142">
        <f>IF($A53&gt;'Semi-Results'!$P$2,($AA53+10000000),$B53)</f>
        <v>10000255.5</v>
      </c>
      <c r="AJ53" s="142"/>
      <c r="AK53" s="346">
        <f>IF($A53&gt;'Semi-Results'!$P$2,"",VLOOKUP($B53,'Semi-Results'!$B$9:$AE$100,29))</f>
      </c>
      <c r="AL53" s="180">
        <f>IF($A53&gt;3,IF($A53&gt;'Semi-Results'!$P$2,MIN($X53:$Z53),MIN($AE53,$AF53)),$AK53)</f>
        <v>255.5</v>
      </c>
      <c r="AM53" s="180">
        <f>IF($A53&gt;3,IF($A53&gt;'Semi-Results'!$P$2,(SUM($X53:$Z53)-MAX($X53:$Z53)-MIN($X53:$Z53)),MAX($AE53,$AF53)),$AK53)</f>
        <v>1000000</v>
      </c>
      <c r="AN53" s="180">
        <f>IF($A53&gt;3,IF($A53&gt;'Semi-Results'!$P$2,MAX($X53:$Z53),MAX($AE53,$AF53)),$AK53)</f>
        <v>1000000</v>
      </c>
    </row>
    <row r="54" spans="1:40" ht="12.75">
      <c r="A54" s="229">
        <f t="shared" si="0"/>
        <v>46</v>
      </c>
      <c r="B54" s="320">
        <f>IF(($A54&gt;'Semi-Results'!$P$2),RésF2CeInd!B54,RésF2CsInd!B55)</f>
        <v>39</v>
      </c>
      <c r="C54" s="321" t="str">
        <f>VLOOKUP($B54,TempsF2Ce!$B$9:$N$89,2)</f>
        <v>LOH P. / CHING M. </v>
      </c>
      <c r="D54" s="322">
        <f>VLOOKUP($B54,TempsF2Ce!$B$9:$N$89,3)</f>
        <v>0</v>
      </c>
      <c r="E54" s="10" t="str">
        <f>VLOOKUP($B54,TempsF2Ce!$B$9:$N$89,4)</f>
        <v>SIN</v>
      </c>
      <c r="F54" s="350"/>
      <c r="G54" s="306"/>
      <c r="H54" s="401">
        <f t="shared" si="8"/>
        <v>77</v>
      </c>
      <c r="I54" s="306"/>
      <c r="J54" s="306"/>
      <c r="K54" s="375">
        <f t="shared" si="11"/>
        <v>1</v>
      </c>
      <c r="L54" s="306"/>
      <c r="M54" s="306"/>
      <c r="N54" s="377">
        <f t="shared" si="12"/>
      </c>
      <c r="W54" s="403"/>
      <c r="X54" s="346">
        <f>VLOOKUP($B54,TempsF2Ce!$B$9:$AA$89,23)</f>
        <v>9923</v>
      </c>
      <c r="Y54" s="346">
        <f>VLOOKUP($B54,TempsF2Ce!$B$9:$AA$89,24)</f>
        <v>9999</v>
      </c>
      <c r="Z54" s="346">
        <f>VLOOKUP($B54,TempsF2Ce!$B$9:$AA$89,25)</f>
      </c>
      <c r="AA54" s="180">
        <f t="shared" si="14"/>
        <v>9923</v>
      </c>
      <c r="AB54" s="180">
        <f t="shared" si="15"/>
        <v>0</v>
      </c>
      <c r="AC54" s="180">
        <f t="shared" si="16"/>
        <v>9999</v>
      </c>
      <c r="AD54" s="180">
        <f>IF($A54&gt;'Semi-Results'!$P$2,"",MIN($AE54,$AF54))</f>
      </c>
      <c r="AE54" s="346">
        <f>IF($A54&gt;'Semi-Results'!$P$2,"",VLOOKUP($B54,'Semi-Results'!$B$9:$AA$100,23))</f>
      </c>
      <c r="AF54" s="346">
        <f>IF($A54&gt;'Semi-Results'!$P$2,"",VLOOKUP($B54,'Semi-Results'!$B$9:$AA$100,24))</f>
      </c>
      <c r="AG54" s="180">
        <f>IF($A54&gt;'Semi-Results'!$P$2,($AA54+10000000),MIN($AE54,$AF54))</f>
        <v>10009923</v>
      </c>
      <c r="AH54" s="142">
        <f>IF($A54&gt;'Semi-Results'!$P$2,($AA54+10000000),MAX($AE54,$AF54))</f>
        <v>10009923</v>
      </c>
      <c r="AI54" s="142">
        <f>IF($A54&gt;'Semi-Results'!$P$2,($AA54+10000000),$B54)</f>
        <v>10009923</v>
      </c>
      <c r="AJ54" s="142"/>
      <c r="AK54" s="346">
        <f>IF($A54&gt;'Semi-Results'!$P$2,"",VLOOKUP($B54,'Semi-Results'!$B$9:$AE$100,29))</f>
      </c>
      <c r="AL54" s="180">
        <f>IF($A54&gt;3,IF($A54&gt;'Semi-Results'!$P$2,MIN($X54:$Z54),MIN($AE54,$AF54)),$AK54)</f>
        <v>9923</v>
      </c>
      <c r="AM54" s="180">
        <f>IF($A54&gt;3,IF($A54&gt;'Semi-Results'!$P$2,(SUM($X54:$Z54)-MAX($X54:$Z54)-MIN($X54:$Z54)),MAX($AE54,$AF54)),$AK54)</f>
        <v>0</v>
      </c>
      <c r="AN54" s="180">
        <f>IF($A54&gt;3,IF($A54&gt;'Semi-Results'!$P$2,MAX($X54:$Z54),MAX($AE54,$AF54)),$AK54)</f>
        <v>9999</v>
      </c>
    </row>
    <row r="55" spans="1:40" ht="12.75">
      <c r="A55" s="229">
        <f t="shared" si="0"/>
        <v>47</v>
      </c>
      <c r="B55" s="320">
        <f>IF(($A55&gt;'Semi-Results'!$P$2),RésF2CeInd!B55,RésF2CsInd!B57)</f>
        <v>36</v>
      </c>
      <c r="C55" s="321" t="str">
        <f>VLOOKUP($B55,TempsF2Ce!$B$9:$N$89,2)</f>
        <v>ABDHUL RAMAN N. / NAJIMUDEEN H.</v>
      </c>
      <c r="D55" s="322" t="str">
        <f>VLOOKUP($B55,TempsF2Ce!$B$9:$N$89,3)</f>
        <v>Jun</v>
      </c>
      <c r="E55" s="10" t="str">
        <f>VLOOKUP($B55,TempsF2Ce!$B$9:$N$89,4)</f>
        <v>SIN</v>
      </c>
      <c r="F55" s="350"/>
      <c r="G55" s="306"/>
      <c r="H55" s="374">
        <f t="shared" si="8"/>
        <v>47</v>
      </c>
      <c r="I55" s="306"/>
      <c r="J55" s="306"/>
      <c r="K55" s="373" t="str">
        <f t="shared" si="11"/>
        <v>DISQ</v>
      </c>
      <c r="L55" s="306"/>
      <c r="M55" s="306"/>
      <c r="N55" s="402">
        <f t="shared" si="12"/>
        <v>76</v>
      </c>
      <c r="W55" s="403"/>
      <c r="X55" s="346">
        <f>VLOOKUP($B55,TempsF2Ce!$B$9:$AA$89,23)</f>
        <v>9953</v>
      </c>
      <c r="Y55" s="346">
        <f>VLOOKUP($B55,TempsF2Ce!$B$9:$AA$89,24)</f>
        <v>1000000</v>
      </c>
      <c r="Z55" s="346">
        <f>VLOOKUP($B55,TempsF2Ce!$B$9:$AA$89,25)</f>
        <v>9924</v>
      </c>
      <c r="AA55" s="180">
        <f t="shared" si="14"/>
        <v>9924</v>
      </c>
      <c r="AB55" s="180">
        <f t="shared" si="15"/>
        <v>9953</v>
      </c>
      <c r="AC55" s="180">
        <f t="shared" si="16"/>
        <v>1000000</v>
      </c>
      <c r="AD55" s="180">
        <f>IF($A55&gt;'Semi-Results'!$P$2,"",MIN($AE55,$AF55))</f>
      </c>
      <c r="AE55" s="346">
        <f>IF($A55&gt;'Semi-Results'!$P$2,"",VLOOKUP($B55,'Semi-Results'!$B$9:$AA$100,23))</f>
      </c>
      <c r="AF55" s="346">
        <f>IF($A55&gt;'Semi-Results'!$P$2,"",VLOOKUP($B55,'Semi-Results'!$B$9:$AA$100,24))</f>
      </c>
      <c r="AG55" s="180">
        <f>IF($A55&gt;'Semi-Results'!$P$2,($AA55+10000000),MIN($AE55,$AF55))</f>
        <v>10009924</v>
      </c>
      <c r="AH55" s="142">
        <f>IF($A55&gt;'Semi-Results'!$P$2,($AA55+10000000),MAX($AE55,$AF55))</f>
        <v>10009924</v>
      </c>
      <c r="AI55" s="142">
        <f>IF($A55&gt;'Semi-Results'!$P$2,($AA55+10000000),$B55)</f>
        <v>10009924</v>
      </c>
      <c r="AJ55" s="142"/>
      <c r="AK55" s="346">
        <f>IF($A55&gt;'Semi-Results'!$P$2,"",VLOOKUP($B55,'Semi-Results'!$B$9:$AE$100,29))</f>
      </c>
      <c r="AL55" s="180">
        <f>IF($A55&gt;3,IF($A55&gt;'Semi-Results'!$P$2,MIN($X55:$Z55),MIN($AE55,$AF55)),$AK55)</f>
        <v>9924</v>
      </c>
      <c r="AM55" s="180">
        <f>IF($A55&gt;3,IF($A55&gt;'Semi-Results'!$P$2,(SUM($X55:$Z55)-MAX($X55:$Z55)-MIN($X55:$Z55)),MAX($AE55,$AF55)),$AK55)</f>
        <v>9953</v>
      </c>
      <c r="AN55" s="180">
        <f>IF($A55&gt;3,IF($A55&gt;'Semi-Results'!$P$2,MAX($X55:$Z55),MAX($AE55,$AF55)),$AK55)</f>
        <v>1000000</v>
      </c>
    </row>
    <row r="56" spans="1:40" ht="12.75">
      <c r="A56" s="229">
        <f t="shared" si="0"/>
        <v>48</v>
      </c>
      <c r="B56" s="320">
        <f>IF(($A56&gt;'Semi-Results'!$P$2),RésF2CeInd!B56,RésF2CsInd!B58)</f>
        <v>29</v>
      </c>
      <c r="C56" s="321" t="str">
        <f>VLOOKUP($B56,TempsF2Ce!$B$9:$N$89,2)</f>
        <v>ZUCHOWSKI M. / DABROWSKI K.</v>
      </c>
      <c r="D56" s="322" t="str">
        <f>VLOOKUP($B56,TempsF2Ce!$B$9:$N$89,3)</f>
        <v>Jun</v>
      </c>
      <c r="E56" s="10" t="str">
        <f>VLOOKUP($B56,TempsF2Ce!$B$9:$N$89,4)</f>
        <v>POL</v>
      </c>
      <c r="F56" s="350"/>
      <c r="G56" s="306"/>
      <c r="H56" s="373" t="str">
        <f t="shared" si="8"/>
        <v>DISQ</v>
      </c>
      <c r="I56" s="306">
        <f t="shared" si="9"/>
        <v>0</v>
      </c>
      <c r="J56" s="306" t="str">
        <f t="shared" si="10"/>
        <v>:</v>
      </c>
      <c r="K56" s="297">
        <f t="shared" si="11"/>
        <v>0</v>
      </c>
      <c r="L56" s="306"/>
      <c r="M56" s="306"/>
      <c r="N56" s="402">
        <f t="shared" si="12"/>
        <v>56</v>
      </c>
      <c r="W56" s="403"/>
      <c r="X56" s="346">
        <f>VLOOKUP($B56,TempsF2Ce!$B$9:$AA$89,23)</f>
        <v>1000000</v>
      </c>
      <c r="Y56" s="346">
        <f>VLOOKUP($B56,TempsF2Ce!$B$9:$AA$89,24)</f>
        <v>10000</v>
      </c>
      <c r="Z56" s="346">
        <f>VLOOKUP($B56,TempsF2Ce!$B$9:$AA$89,25)</f>
        <v>9944</v>
      </c>
      <c r="AA56" s="180">
        <f t="shared" si="14"/>
        <v>9944</v>
      </c>
      <c r="AB56" s="180">
        <f t="shared" si="15"/>
        <v>10000</v>
      </c>
      <c r="AC56" s="180">
        <f t="shared" si="16"/>
        <v>1000000</v>
      </c>
      <c r="AD56" s="180">
        <f>IF($A56&gt;'Semi-Results'!$P$2,"",MIN($AE56,$AF56))</f>
      </c>
      <c r="AE56" s="346">
        <f>IF($A56&gt;'Semi-Results'!$P$2,"",VLOOKUP($B56,'Semi-Results'!$B$9:$AA$100,23))</f>
      </c>
      <c r="AF56" s="346">
        <f>IF($A56&gt;'Semi-Results'!$P$2,"",VLOOKUP($B56,'Semi-Results'!$B$9:$AA$100,24))</f>
      </c>
      <c r="AG56" s="180">
        <f>IF($A56&gt;'Semi-Results'!$P$2,($AA56+10000000),MIN($AE56,$AF56))</f>
        <v>10009944</v>
      </c>
      <c r="AH56" s="142">
        <f>IF($A56&gt;'Semi-Results'!$P$2,($AA56+10000000),MAX($AE56,$AF56))</f>
        <v>10009944</v>
      </c>
      <c r="AI56" s="142">
        <f>IF($A56&gt;'Semi-Results'!$P$2,($AA56+10000000),$B56)</f>
        <v>10009944</v>
      </c>
      <c r="AJ56" s="142"/>
      <c r="AK56" s="346">
        <f>IF($A56&gt;'Semi-Results'!$P$2,"",VLOOKUP($B56,'Semi-Results'!$B$9:$AE$100,29))</f>
      </c>
      <c r="AL56" s="180">
        <f>IF($A56&gt;3,IF($A56&gt;'Semi-Results'!$P$2,MIN($X56:$Z56),MIN($AE56,$AF56)),$AK56)</f>
        <v>9944</v>
      </c>
      <c r="AM56" s="180">
        <f>IF($A56&gt;3,IF($A56&gt;'Semi-Results'!$P$2,(SUM($X56:$Z56)-MAX($X56:$Z56)-MIN($X56:$Z56)),MAX($AE56,$AF56)),$AK56)</f>
        <v>10000</v>
      </c>
      <c r="AN56" s="180">
        <f>IF($A56&gt;3,IF($A56&gt;'Semi-Results'!$P$2,MAX($X56:$Z56),MAX($AE56,$AF56)),$AK56)</f>
        <v>1000000</v>
      </c>
    </row>
    <row r="57" spans="1:40" ht="12.75">
      <c r="A57" s="229">
        <f t="shared" si="0"/>
        <v>49</v>
      </c>
      <c r="B57" s="320">
        <f>IF(($A57&gt;'Semi-Results'!$P$2),RésF2CeInd!B57,RésF2CsInd!B59)</f>
        <v>50</v>
      </c>
      <c r="C57" s="321" t="str">
        <f>VLOOKUP($B57,TempsF2Ce!$B$9:$N$89,2)</f>
        <v>BALLARD J. / LAMBERT D.</v>
      </c>
      <c r="D57" s="322">
        <f>VLOOKUP($B57,TempsF2Ce!$B$9:$N$89,3)</f>
        <v>0</v>
      </c>
      <c r="E57" s="10" t="str">
        <f>VLOOKUP($B57,TempsF2Ce!$B$9:$N$89,4)</f>
        <v>USA</v>
      </c>
      <c r="F57" s="350"/>
      <c r="G57" s="306"/>
      <c r="H57" s="373" t="str">
        <f t="shared" si="8"/>
        <v>DISQ</v>
      </c>
      <c r="I57" s="306">
        <f t="shared" si="9"/>
        <v>0</v>
      </c>
      <c r="J57" s="306" t="str">
        <f t="shared" si="10"/>
        <v>:</v>
      </c>
      <c r="K57" s="297">
        <f t="shared" si="11"/>
        <v>0</v>
      </c>
      <c r="L57" s="306">
        <f>IF($Y57="","",IF($Y57=1000000,"",IF($Y57=10000,0,IF($Y57&gt;9000,"",INT($Y57/60)))))</f>
        <v>0</v>
      </c>
      <c r="M57" s="306" t="str">
        <f>IF($Y57="","",IF($Y57=1000000,"",IF($Y57=10000,":",IF($Y57&gt;9000,"",":"))))</f>
        <v>:</v>
      </c>
      <c r="N57" s="288">
        <f>IF($Y57="","",IF($Y57=1000000,"DISQ",IF($Y57&gt;9000,10000-$Y57,$Y57-INT($Y57/60)*60)))</f>
        <v>0</v>
      </c>
      <c r="W57" s="403"/>
      <c r="X57" s="346">
        <f>VLOOKUP($B57,TempsF2Ce!$B$9:$AA$89,23)</f>
        <v>1000000</v>
      </c>
      <c r="Y57" s="346">
        <f>VLOOKUP($B57,TempsF2Ce!$B$9:$AA$89,24)</f>
        <v>10000</v>
      </c>
      <c r="Z57" s="346">
        <f>VLOOKUP($B57,TempsF2Ce!$B$9:$AA$89,25)</f>
        <v>10000</v>
      </c>
      <c r="AA57" s="180">
        <f t="shared" si="14"/>
        <v>10000</v>
      </c>
      <c r="AB57" s="180">
        <f t="shared" si="15"/>
        <v>10000</v>
      </c>
      <c r="AC57" s="180">
        <f t="shared" si="16"/>
        <v>1000000</v>
      </c>
      <c r="AD57" s="180">
        <f>IF($A57&gt;'Semi-Results'!$P$2,"",MIN($AE57,$AF57))</f>
      </c>
      <c r="AE57" s="346">
        <f>IF($A57&gt;'Semi-Results'!$P$2,"",VLOOKUP($B57,'Semi-Results'!$B$9:$AA$100,23))</f>
      </c>
      <c r="AF57" s="346">
        <f>IF($A57&gt;'Semi-Results'!$P$2,"",VLOOKUP($B57,'Semi-Results'!$B$9:$AA$100,24))</f>
      </c>
      <c r="AG57" s="180">
        <f>IF($A57&gt;'Semi-Results'!$P$2,($AA57+10000000),MIN($AE57,$AF57))</f>
        <v>10010000</v>
      </c>
      <c r="AH57" s="142">
        <f>IF($A57&gt;'Semi-Results'!$P$2,($AA57+10000000),MAX($AE57,$AF57))</f>
        <v>10010000</v>
      </c>
      <c r="AI57" s="142">
        <f>IF($A57&gt;'Semi-Results'!$P$2,($AA57+10000000),$B57)</f>
        <v>10010000</v>
      </c>
      <c r="AJ57" s="142"/>
      <c r="AK57" s="346">
        <f>IF($A57&gt;'Semi-Results'!$P$2,"",VLOOKUP($B57,'Semi-Results'!$B$9:$AE$100,29))</f>
      </c>
      <c r="AL57" s="180">
        <f>IF($A57&gt;3,IF($A57&gt;'Semi-Results'!$P$2,MIN($X57:$Z57),MIN($AE57,$AF57)),$AK57)</f>
        <v>10000</v>
      </c>
      <c r="AM57" s="180">
        <f>IF($A57&gt;3,IF($A57&gt;'Semi-Results'!$P$2,(SUM($X57:$Z57)-MAX($X57:$Z57)-MIN($X57:$Z57)),MAX($AE57,$AF57)),$AK57)</f>
        <v>10000</v>
      </c>
      <c r="AN57" s="180">
        <f>IF($A57&gt;3,IF($A57&gt;'Semi-Results'!$P$2,MAX($X57:$Z57),MAX($AE57,$AF57)),$AK57)</f>
        <v>1000000</v>
      </c>
    </row>
    <row r="58" spans="1:29" ht="12.75" hidden="1">
      <c r="A58" s="228"/>
      <c r="B58" s="313"/>
      <c r="C58" s="31"/>
      <c r="D58" s="274"/>
      <c r="E58" s="314"/>
      <c r="F58" s="289"/>
      <c r="G58" s="274"/>
      <c r="H58" s="298"/>
      <c r="I58" s="290"/>
      <c r="J58" s="274"/>
      <c r="K58" s="298"/>
      <c r="L58" s="290"/>
      <c r="M58" s="274"/>
      <c r="N58" s="291"/>
      <c r="X58" s="142"/>
      <c r="Y58" s="142"/>
      <c r="Z58" s="142"/>
      <c r="AA58" s="142"/>
      <c r="AB58" s="142"/>
      <c r="AC58" s="142"/>
    </row>
    <row r="59" spans="1:14" ht="12.75">
      <c r="A59" s="4"/>
      <c r="B59" s="144"/>
      <c r="C59" s="4"/>
      <c r="D59" s="145"/>
      <c r="E59" s="143"/>
      <c r="F59" s="117"/>
      <c r="G59" s="118"/>
      <c r="H59" s="146"/>
      <c r="I59" s="117"/>
      <c r="J59" s="118"/>
      <c r="K59" s="146"/>
      <c r="L59" s="117"/>
      <c r="M59" s="118"/>
      <c r="N59" s="146"/>
    </row>
  </sheetData>
  <printOptions/>
  <pageMargins left="0.5905511811023623" right="0.3937007874015748" top="0.3937007874015748" bottom="0.3937007874015748" header="0.5118110236220472" footer="0.5118110236220472"/>
  <pageSetup fitToHeight="1" fitToWidth="1"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tabSelected="1" workbookViewId="0" topLeftCell="B1">
      <selection activeCell="C56" sqref="C56"/>
    </sheetView>
  </sheetViews>
  <sheetFormatPr defaultColWidth="9.140625" defaultRowHeight="12.75"/>
  <cols>
    <col min="1" max="1" width="12.8515625" style="0" hidden="1" customWidth="1"/>
    <col min="2" max="2" width="7.421875" style="28" customWidth="1"/>
    <col min="3" max="3" width="30.421875" style="0" customWidth="1"/>
    <col min="4" max="4" width="7.00390625" style="21" customWidth="1"/>
    <col min="5" max="5" width="8.140625" style="0" customWidth="1"/>
    <col min="6" max="16384" width="11.421875" style="0" customWidth="1"/>
  </cols>
  <sheetData>
    <row r="1" spans="1:5" ht="6" customHeight="1">
      <c r="A1" s="2"/>
      <c r="B1" s="22"/>
      <c r="C1" s="1"/>
      <c r="D1" s="16"/>
      <c r="E1" s="2"/>
    </row>
    <row r="2" spans="2:4" ht="13.5">
      <c r="B2" s="23"/>
      <c r="C2" s="30" t="s">
        <v>0</v>
      </c>
      <c r="D2" s="16"/>
    </row>
    <row r="3" spans="1:5" ht="13.5">
      <c r="A3" s="32"/>
      <c r="B3" s="32" t="s">
        <v>1</v>
      </c>
      <c r="C3" s="1"/>
      <c r="D3" s="16"/>
      <c r="E3" s="3"/>
    </row>
    <row r="4" spans="1:5" ht="3" customHeight="1">
      <c r="A4" s="12" t="s">
        <v>2</v>
      </c>
      <c r="B4" s="24"/>
      <c r="C4" s="4"/>
      <c r="D4" s="17"/>
      <c r="E4" s="5"/>
    </row>
    <row r="5" spans="1:5" ht="13.5">
      <c r="A5" s="13" t="s">
        <v>3</v>
      </c>
      <c r="B5" s="25" t="s">
        <v>4</v>
      </c>
      <c r="C5" s="6" t="s">
        <v>5</v>
      </c>
      <c r="D5" s="18"/>
      <c r="E5" s="7" t="s">
        <v>3</v>
      </c>
    </row>
    <row r="6" spans="1:5" ht="3" customHeight="1">
      <c r="A6" s="14"/>
      <c r="B6" s="26"/>
      <c r="C6" s="8"/>
      <c r="D6" s="19"/>
      <c r="E6" s="9"/>
    </row>
    <row r="7" spans="1:5" s="11" customFormat="1" ht="12.75">
      <c r="A7" s="277"/>
      <c r="B7" s="278">
        <f aca="true" t="shared" si="0" ref="B7:B66">ROW(A7)-ROW(B$6)</f>
        <v>1</v>
      </c>
      <c r="C7" s="359" t="s">
        <v>6</v>
      </c>
      <c r="D7" s="1" t="s">
        <v>7</v>
      </c>
      <c r="E7" s="360" t="s">
        <v>8</v>
      </c>
    </row>
    <row r="8" spans="1:5" s="11" customFormat="1" ht="12.75">
      <c r="A8" s="279"/>
      <c r="B8" s="280">
        <f t="shared" si="0"/>
        <v>2</v>
      </c>
      <c r="C8" s="282" t="s">
        <v>9</v>
      </c>
      <c r="D8" s="281"/>
      <c r="E8" s="285" t="s">
        <v>10</v>
      </c>
    </row>
    <row r="9" spans="1:5" s="11" customFormat="1" ht="12.75">
      <c r="A9" s="279"/>
      <c r="B9" s="280">
        <f t="shared" si="0"/>
        <v>3</v>
      </c>
      <c r="C9" s="282" t="s">
        <v>11</v>
      </c>
      <c r="D9" s="281"/>
      <c r="E9" s="285" t="s">
        <v>10</v>
      </c>
    </row>
    <row r="10" spans="1:5" s="11" customFormat="1" ht="12.75">
      <c r="A10" s="279"/>
      <c r="B10" s="280">
        <f t="shared" si="0"/>
        <v>4</v>
      </c>
      <c r="C10" s="282" t="s">
        <v>12</v>
      </c>
      <c r="D10" s="281"/>
      <c r="E10" s="285" t="s">
        <v>10</v>
      </c>
    </row>
    <row r="11" spans="1:5" s="11" customFormat="1" ht="12.75">
      <c r="A11" s="279"/>
      <c r="B11" s="280">
        <f t="shared" si="0"/>
        <v>5</v>
      </c>
      <c r="C11" s="282" t="s">
        <v>13</v>
      </c>
      <c r="D11" s="281"/>
      <c r="E11" s="285" t="s">
        <v>14</v>
      </c>
    </row>
    <row r="12" spans="1:5" s="11" customFormat="1" ht="12.75">
      <c r="A12" s="279"/>
      <c r="B12" s="280">
        <f t="shared" si="0"/>
        <v>6</v>
      </c>
      <c r="C12" s="282" t="s">
        <v>15</v>
      </c>
      <c r="D12" s="281"/>
      <c r="E12" s="285" t="s">
        <v>14</v>
      </c>
    </row>
    <row r="13" spans="1:5" s="11" customFormat="1" ht="12.75">
      <c r="A13" s="285"/>
      <c r="B13" s="280">
        <f t="shared" si="0"/>
        <v>7</v>
      </c>
      <c r="C13" s="282" t="s">
        <v>16</v>
      </c>
      <c r="D13" s="281"/>
      <c r="E13" s="285" t="s">
        <v>17</v>
      </c>
    </row>
    <row r="14" spans="1:5" ht="12.75">
      <c r="A14" s="285"/>
      <c r="B14" s="280">
        <f t="shared" si="0"/>
        <v>8</v>
      </c>
      <c r="C14" s="282" t="s">
        <v>18</v>
      </c>
      <c r="D14" s="281"/>
      <c r="E14" s="285" t="s">
        <v>19</v>
      </c>
    </row>
    <row r="15" spans="1:5" ht="12.75">
      <c r="A15" s="285"/>
      <c r="B15" s="280">
        <f t="shared" si="0"/>
        <v>9</v>
      </c>
      <c r="C15" s="282" t="s">
        <v>20</v>
      </c>
      <c r="D15" s="281"/>
      <c r="E15" s="285" t="s">
        <v>19</v>
      </c>
    </row>
    <row r="16" spans="1:5" ht="12.75">
      <c r="A16" s="285"/>
      <c r="B16" s="280">
        <f t="shared" si="0"/>
        <v>10</v>
      </c>
      <c r="C16" s="282" t="s">
        <v>21</v>
      </c>
      <c r="D16" s="281"/>
      <c r="E16" s="285" t="s">
        <v>22</v>
      </c>
    </row>
    <row r="17" spans="1:5" ht="12.75">
      <c r="A17" s="285"/>
      <c r="B17" s="280">
        <f t="shared" si="0"/>
        <v>11</v>
      </c>
      <c r="C17" s="282" t="s">
        <v>23</v>
      </c>
      <c r="D17" s="281"/>
      <c r="E17" s="285" t="s">
        <v>22</v>
      </c>
    </row>
    <row r="18" spans="1:5" ht="12.75">
      <c r="A18" s="285"/>
      <c r="B18" s="280">
        <f t="shared" si="0"/>
        <v>12</v>
      </c>
      <c r="C18" s="282" t="s">
        <v>24</v>
      </c>
      <c r="D18" s="281"/>
      <c r="E18" s="285" t="s">
        <v>22</v>
      </c>
    </row>
    <row r="19" spans="1:5" ht="12.75">
      <c r="A19" s="285"/>
      <c r="B19" s="280">
        <f t="shared" si="0"/>
        <v>13</v>
      </c>
      <c r="C19" s="282" t="s">
        <v>25</v>
      </c>
      <c r="D19" s="281"/>
      <c r="E19" s="285" t="s">
        <v>26</v>
      </c>
    </row>
    <row r="20" spans="1:5" ht="12.75">
      <c r="A20" s="285"/>
      <c r="B20" s="280">
        <f t="shared" si="0"/>
        <v>14</v>
      </c>
      <c r="C20" s="282" t="s">
        <v>27</v>
      </c>
      <c r="D20" s="281"/>
      <c r="E20" s="285" t="s">
        <v>26</v>
      </c>
    </row>
    <row r="21" spans="1:5" ht="12.75">
      <c r="A21" s="285"/>
      <c r="B21" s="280">
        <f t="shared" si="0"/>
        <v>15</v>
      </c>
      <c r="C21" s="282" t="s">
        <v>28</v>
      </c>
      <c r="D21" s="281"/>
      <c r="E21" s="285" t="s">
        <v>26</v>
      </c>
    </row>
    <row r="22" spans="1:5" ht="12.75">
      <c r="A22" s="285"/>
      <c r="B22" s="280">
        <f t="shared" si="0"/>
        <v>16</v>
      </c>
      <c r="C22" s="282" t="s">
        <v>29</v>
      </c>
      <c r="D22" s="281" t="s">
        <v>30</v>
      </c>
      <c r="E22" s="285" t="s">
        <v>26</v>
      </c>
    </row>
    <row r="23" spans="1:5" ht="12.75">
      <c r="A23" s="285"/>
      <c r="B23" s="280">
        <f t="shared" si="0"/>
        <v>17</v>
      </c>
      <c r="C23" s="282" t="s">
        <v>31</v>
      </c>
      <c r="D23" s="281"/>
      <c r="E23" s="285" t="s">
        <v>32</v>
      </c>
    </row>
    <row r="24" spans="1:5" ht="12.75">
      <c r="A24" s="285"/>
      <c r="B24" s="280">
        <f t="shared" si="0"/>
        <v>18</v>
      </c>
      <c r="C24" s="282" t="s">
        <v>33</v>
      </c>
      <c r="D24" s="281"/>
      <c r="E24" s="285" t="s">
        <v>32</v>
      </c>
    </row>
    <row r="25" spans="1:5" ht="12.75">
      <c r="A25" s="285"/>
      <c r="B25" s="280">
        <f t="shared" si="0"/>
        <v>19</v>
      </c>
      <c r="C25" s="282" t="s">
        <v>34</v>
      </c>
      <c r="D25" s="281"/>
      <c r="E25" s="285" t="s">
        <v>35</v>
      </c>
    </row>
    <row r="26" spans="1:5" ht="12.75">
      <c r="A26" s="285"/>
      <c r="B26" s="280">
        <f t="shared" si="0"/>
        <v>20</v>
      </c>
      <c r="C26" s="282" t="s">
        <v>36</v>
      </c>
      <c r="D26" s="281"/>
      <c r="E26" s="285" t="s">
        <v>35</v>
      </c>
    </row>
    <row r="27" spans="1:5" ht="12.75">
      <c r="A27" s="285"/>
      <c r="B27" s="280">
        <f t="shared" si="0"/>
        <v>21</v>
      </c>
      <c r="C27" s="282" t="s">
        <v>37</v>
      </c>
      <c r="D27" s="281"/>
      <c r="E27" s="285" t="s">
        <v>35</v>
      </c>
    </row>
    <row r="28" spans="1:5" ht="12.75">
      <c r="A28" s="285"/>
      <c r="B28" s="280">
        <f t="shared" si="0"/>
        <v>22</v>
      </c>
      <c r="C28" s="282" t="s">
        <v>38</v>
      </c>
      <c r="D28" s="281"/>
      <c r="E28" s="285" t="s">
        <v>39</v>
      </c>
    </row>
    <row r="29" spans="1:5" ht="12.75">
      <c r="A29" s="285"/>
      <c r="B29" s="280">
        <f t="shared" si="0"/>
        <v>23</v>
      </c>
      <c r="C29" s="282" t="s">
        <v>40</v>
      </c>
      <c r="D29" s="281"/>
      <c r="E29" s="285" t="s">
        <v>39</v>
      </c>
    </row>
    <row r="30" spans="1:5" ht="12.75">
      <c r="A30" s="285"/>
      <c r="B30" s="280">
        <f t="shared" si="0"/>
        <v>24</v>
      </c>
      <c r="C30" s="282" t="s">
        <v>41</v>
      </c>
      <c r="D30" s="281"/>
      <c r="E30" s="285" t="s">
        <v>42</v>
      </c>
    </row>
    <row r="31" spans="1:5" ht="12.75">
      <c r="A31" s="285"/>
      <c r="B31" s="280">
        <f t="shared" si="0"/>
        <v>25</v>
      </c>
      <c r="C31" s="282" t="s">
        <v>43</v>
      </c>
      <c r="D31" s="281"/>
      <c r="E31" s="285" t="s">
        <v>42</v>
      </c>
    </row>
    <row r="32" spans="1:5" ht="12.75">
      <c r="A32" s="285"/>
      <c r="B32" s="280">
        <f t="shared" si="0"/>
        <v>26</v>
      </c>
      <c r="C32" s="282" t="s">
        <v>44</v>
      </c>
      <c r="D32" s="281"/>
      <c r="E32" s="285" t="s">
        <v>42</v>
      </c>
    </row>
    <row r="33" spans="1:5" ht="12.75">
      <c r="A33" s="285"/>
      <c r="B33" s="280">
        <f t="shared" si="0"/>
        <v>27</v>
      </c>
      <c r="C33" s="359"/>
      <c r="D33" s="1"/>
      <c r="E33" s="358"/>
    </row>
    <row r="34" spans="1:5" ht="12.75">
      <c r="A34" s="285"/>
      <c r="B34" s="280">
        <f t="shared" si="0"/>
        <v>28</v>
      </c>
      <c r="C34" s="282" t="s">
        <v>45</v>
      </c>
      <c r="D34" s="281"/>
      <c r="E34" s="285" t="s">
        <v>46</v>
      </c>
    </row>
    <row r="35" spans="1:5" ht="12.75">
      <c r="A35" s="285"/>
      <c r="B35" s="280">
        <f t="shared" si="0"/>
        <v>29</v>
      </c>
      <c r="C35" s="282" t="s">
        <v>47</v>
      </c>
      <c r="D35" s="281" t="s">
        <v>30</v>
      </c>
      <c r="E35" s="285" t="s">
        <v>48</v>
      </c>
    </row>
    <row r="36" spans="1:5" ht="12.75">
      <c r="A36" s="285"/>
      <c r="B36" s="280">
        <f t="shared" si="0"/>
        <v>30</v>
      </c>
      <c r="C36" s="282" t="s">
        <v>49</v>
      </c>
      <c r="D36" s="281"/>
      <c r="E36" s="285" t="s">
        <v>50</v>
      </c>
    </row>
    <row r="37" spans="1:5" ht="12.75">
      <c r="A37" s="285"/>
      <c r="B37" s="280">
        <f t="shared" si="0"/>
        <v>31</v>
      </c>
      <c r="C37" s="282" t="s">
        <v>51</v>
      </c>
      <c r="D37" s="281"/>
      <c r="E37" s="285" t="s">
        <v>50</v>
      </c>
    </row>
    <row r="38" spans="1:5" ht="12.75">
      <c r="A38" s="285"/>
      <c r="B38" s="280">
        <f t="shared" si="0"/>
        <v>32</v>
      </c>
      <c r="C38" s="282" t="s">
        <v>52</v>
      </c>
      <c r="D38" s="281"/>
      <c r="E38" s="285" t="s">
        <v>8</v>
      </c>
    </row>
    <row r="39" spans="1:5" ht="12.75">
      <c r="A39" s="285"/>
      <c r="B39" s="280">
        <f t="shared" si="0"/>
        <v>33</v>
      </c>
      <c r="C39" s="282" t="s">
        <v>53</v>
      </c>
      <c r="D39" s="281"/>
      <c r="E39" s="285" t="s">
        <v>8</v>
      </c>
    </row>
    <row r="40" spans="1:5" ht="12.75">
      <c r="A40" s="285"/>
      <c r="B40" s="280">
        <f t="shared" si="0"/>
        <v>34</v>
      </c>
      <c r="C40" s="282" t="s">
        <v>54</v>
      </c>
      <c r="D40" s="281"/>
      <c r="E40" s="285" t="s">
        <v>8</v>
      </c>
    </row>
    <row r="41" spans="1:5" ht="12.75">
      <c r="A41" s="285"/>
      <c r="B41" s="280">
        <f t="shared" si="0"/>
        <v>35</v>
      </c>
      <c r="C41" s="282" t="s">
        <v>55</v>
      </c>
      <c r="D41" s="281" t="s">
        <v>30</v>
      </c>
      <c r="E41" s="285" t="s">
        <v>8</v>
      </c>
    </row>
    <row r="42" spans="1:5" ht="12.75">
      <c r="A42" s="285"/>
      <c r="B42" s="280">
        <f t="shared" si="0"/>
        <v>36</v>
      </c>
      <c r="C42" s="282" t="s">
        <v>56</v>
      </c>
      <c r="D42" s="281" t="s">
        <v>30</v>
      </c>
      <c r="E42" s="285" t="s">
        <v>57</v>
      </c>
    </row>
    <row r="43" spans="1:5" ht="12.75">
      <c r="A43" s="285"/>
      <c r="B43" s="280">
        <f t="shared" si="0"/>
        <v>37</v>
      </c>
      <c r="C43" s="282" t="s">
        <v>58</v>
      </c>
      <c r="D43" s="281"/>
      <c r="E43" s="285" t="s">
        <v>57</v>
      </c>
    </row>
    <row r="44" spans="1:5" ht="12.75">
      <c r="A44" s="285"/>
      <c r="B44" s="280">
        <f t="shared" si="0"/>
        <v>38</v>
      </c>
      <c r="C44" s="282" t="s">
        <v>59</v>
      </c>
      <c r="D44" s="281"/>
      <c r="E44" s="285" t="s">
        <v>57</v>
      </c>
    </row>
    <row r="45" spans="1:5" ht="12.75">
      <c r="A45" s="285"/>
      <c r="B45" s="280">
        <f t="shared" si="0"/>
        <v>39</v>
      </c>
      <c r="C45" s="282" t="s">
        <v>60</v>
      </c>
      <c r="D45" s="281"/>
      <c r="E45" s="285" t="s">
        <v>57</v>
      </c>
    </row>
    <row r="46" spans="1:5" ht="12.75">
      <c r="A46" s="285"/>
      <c r="B46" s="280">
        <f t="shared" si="0"/>
        <v>40</v>
      </c>
      <c r="C46" s="282" t="s">
        <v>61</v>
      </c>
      <c r="D46" s="281"/>
      <c r="E46" s="285" t="s">
        <v>62</v>
      </c>
    </row>
    <row r="47" spans="1:5" ht="12.75">
      <c r="A47" s="285"/>
      <c r="B47" s="280">
        <f t="shared" si="0"/>
        <v>41</v>
      </c>
      <c r="C47" s="282" t="s">
        <v>63</v>
      </c>
      <c r="D47" s="281"/>
      <c r="E47" s="285" t="s">
        <v>62</v>
      </c>
    </row>
    <row r="48" spans="1:5" ht="12.75">
      <c r="A48" s="285"/>
      <c r="B48" s="280">
        <f t="shared" si="0"/>
        <v>42</v>
      </c>
      <c r="C48" s="282" t="s">
        <v>64</v>
      </c>
      <c r="D48" s="281"/>
      <c r="E48" s="285" t="s">
        <v>65</v>
      </c>
    </row>
    <row r="49" spans="1:5" ht="12.75">
      <c r="A49" s="285"/>
      <c r="B49" s="280">
        <f t="shared" si="0"/>
        <v>43</v>
      </c>
      <c r="C49" s="282" t="s">
        <v>66</v>
      </c>
      <c r="D49" s="281"/>
      <c r="E49" s="285" t="s">
        <v>65</v>
      </c>
    </row>
    <row r="50" spans="1:5" ht="12.75">
      <c r="A50" s="285"/>
      <c r="B50" s="280">
        <f t="shared" si="0"/>
        <v>44</v>
      </c>
      <c r="C50" s="282" t="s">
        <v>67</v>
      </c>
      <c r="D50" s="281"/>
      <c r="E50" s="285" t="s">
        <v>65</v>
      </c>
    </row>
    <row r="51" spans="1:5" ht="12.75">
      <c r="A51" s="285"/>
      <c r="B51" s="280">
        <f t="shared" si="0"/>
        <v>45</v>
      </c>
      <c r="C51" s="282" t="s">
        <v>68</v>
      </c>
      <c r="D51" s="281"/>
      <c r="E51" s="285" t="s">
        <v>69</v>
      </c>
    </row>
    <row r="52" spans="1:5" ht="12.75">
      <c r="A52" s="285"/>
      <c r="B52" s="280">
        <f t="shared" si="0"/>
        <v>46</v>
      </c>
      <c r="C52" s="282" t="s">
        <v>70</v>
      </c>
      <c r="D52" s="281"/>
      <c r="E52" s="285" t="s">
        <v>69</v>
      </c>
    </row>
    <row r="53" spans="1:5" ht="12.75">
      <c r="A53" s="285"/>
      <c r="B53" s="280">
        <f t="shared" si="0"/>
        <v>47</v>
      </c>
      <c r="C53" s="282" t="s">
        <v>71</v>
      </c>
      <c r="D53" s="281"/>
      <c r="E53" s="285" t="s">
        <v>69</v>
      </c>
    </row>
    <row r="54" spans="1:5" ht="12.75">
      <c r="A54" s="285"/>
      <c r="B54" s="280">
        <f t="shared" si="0"/>
        <v>48</v>
      </c>
      <c r="C54" s="282"/>
      <c r="D54" s="281"/>
      <c r="E54" s="285"/>
    </row>
    <row r="55" spans="1:5" ht="12.75">
      <c r="A55" s="285"/>
      <c r="B55" s="280">
        <f t="shared" si="0"/>
        <v>49</v>
      </c>
      <c r="C55" s="282" t="s">
        <v>72</v>
      </c>
      <c r="D55" s="281"/>
      <c r="E55" s="285" t="s">
        <v>73</v>
      </c>
    </row>
    <row r="56" spans="1:5" ht="12.75">
      <c r="A56" s="285"/>
      <c r="B56" s="280">
        <f t="shared" si="0"/>
        <v>50</v>
      </c>
      <c r="C56" s="282" t="s">
        <v>74</v>
      </c>
      <c r="D56" s="281"/>
      <c r="E56" s="285" t="s">
        <v>73</v>
      </c>
    </row>
    <row r="57" spans="1:5" ht="12.75">
      <c r="A57" s="285"/>
      <c r="B57" s="280">
        <f t="shared" si="0"/>
        <v>51</v>
      </c>
      <c r="C57" s="282" t="s">
        <v>75</v>
      </c>
      <c r="D57" s="281"/>
      <c r="E57" s="285" t="s">
        <v>73</v>
      </c>
    </row>
    <row r="58" spans="1:5" ht="12.75">
      <c r="A58" s="285"/>
      <c r="B58" s="280">
        <f t="shared" si="0"/>
        <v>52</v>
      </c>
      <c r="C58" s="282"/>
      <c r="D58" s="281"/>
      <c r="E58" s="285"/>
    </row>
    <row r="59" spans="1:5" ht="12.75">
      <c r="A59" s="285"/>
      <c r="B59" s="280">
        <f t="shared" si="0"/>
        <v>53</v>
      </c>
      <c r="C59" s="282"/>
      <c r="D59" s="281"/>
      <c r="E59" s="285"/>
    </row>
    <row r="60" spans="1:5" ht="12.75">
      <c r="A60" s="285"/>
      <c r="B60" s="280">
        <f t="shared" si="0"/>
        <v>54</v>
      </c>
      <c r="C60" s="282"/>
      <c r="D60" s="281"/>
      <c r="E60" s="285"/>
    </row>
    <row r="61" spans="1:5" ht="12.75">
      <c r="A61" s="285"/>
      <c r="B61" s="280">
        <f t="shared" si="0"/>
        <v>55</v>
      </c>
      <c r="C61" s="282"/>
      <c r="D61" s="281"/>
      <c r="E61" s="285"/>
    </row>
    <row r="62" spans="1:5" ht="12.75">
      <c r="A62" s="285"/>
      <c r="B62" s="280">
        <f t="shared" si="0"/>
        <v>56</v>
      </c>
      <c r="C62" s="282"/>
      <c r="D62" s="281"/>
      <c r="E62" s="285"/>
    </row>
    <row r="63" spans="1:5" ht="12.75">
      <c r="A63" s="285"/>
      <c r="B63" s="280">
        <f t="shared" si="0"/>
        <v>57</v>
      </c>
      <c r="C63" s="282"/>
      <c r="D63" s="281"/>
      <c r="E63" s="285"/>
    </row>
    <row r="64" spans="1:5" ht="12.75">
      <c r="A64" s="285"/>
      <c r="B64" s="280">
        <f t="shared" si="0"/>
        <v>58</v>
      </c>
      <c r="C64" s="282"/>
      <c r="D64" s="281"/>
      <c r="E64" s="285"/>
    </row>
    <row r="65" spans="1:5" ht="12.75">
      <c r="A65" s="285"/>
      <c r="B65" s="280">
        <f t="shared" si="0"/>
        <v>59</v>
      </c>
      <c r="C65" s="282"/>
      <c r="D65" s="281"/>
      <c r="E65" s="285"/>
    </row>
    <row r="66" spans="1:5" ht="12.75">
      <c r="A66" s="230"/>
      <c r="B66" s="283">
        <f t="shared" si="0"/>
        <v>60</v>
      </c>
      <c r="C66" s="233"/>
      <c r="D66" s="284"/>
      <c r="E66" s="230"/>
    </row>
  </sheetData>
  <printOptions/>
  <pageMargins left="0.7874015748031497" right="0.5905511811023623" top="0.3937007874015748" bottom="0.3937007874015748" header="0.5118110236220472" footer="0.5118110236220472"/>
  <pageSetup fitToHeight="1" fitToWidth="1"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9"/>
  <sheetViews>
    <sheetView workbookViewId="0" topLeftCell="A28">
      <selection activeCell="N56" sqref="N56"/>
    </sheetView>
  </sheetViews>
  <sheetFormatPr defaultColWidth="9.140625" defaultRowHeight="12.75"/>
  <cols>
    <col min="1" max="1" width="3.28125" style="0" customWidth="1"/>
    <col min="2" max="2" width="4.8515625" style="22" customWidth="1"/>
    <col min="3" max="3" width="33.140625" style="1" customWidth="1"/>
    <col min="4" max="4" width="5.140625" style="90" customWidth="1"/>
    <col min="5" max="5" width="7.57421875" style="2" customWidth="1"/>
    <col min="6" max="6" width="1.8515625" style="91" customWidth="1"/>
    <col min="7" max="7" width="1.7109375" style="92" customWidth="1"/>
    <col min="8" max="8" width="6.7109375" style="93" customWidth="1"/>
    <col min="9" max="9" width="1.7109375" style="91" customWidth="1"/>
    <col min="10" max="10" width="1.7109375" style="92" customWidth="1"/>
    <col min="11" max="11" width="6.7109375" style="93" customWidth="1"/>
    <col min="12" max="12" width="1.7109375" style="91" customWidth="1"/>
    <col min="13" max="13" width="1.7109375" style="92" customWidth="1"/>
    <col min="14" max="14" width="6.7109375" style="93" customWidth="1"/>
    <col min="15" max="17" width="1.7109375" style="0" customWidth="1"/>
    <col min="18" max="23" width="2.7109375" style="0" customWidth="1"/>
    <col min="24" max="26" width="10.7109375" style="147" customWidth="1"/>
    <col min="27" max="16384" width="11.421875" style="0" customWidth="1"/>
  </cols>
  <sheetData>
    <row r="1" spans="24:26" ht="3" customHeight="1">
      <c r="X1" s="95"/>
      <c r="Y1" s="95"/>
      <c r="Z1" s="95"/>
    </row>
    <row r="2" spans="3:26" ht="13.5">
      <c r="C2" s="292" t="s">
        <v>76</v>
      </c>
      <c r="E2"/>
      <c r="F2"/>
      <c r="G2"/>
      <c r="H2"/>
      <c r="I2"/>
      <c r="J2"/>
      <c r="K2"/>
      <c r="X2" s="95"/>
      <c r="Y2" s="95"/>
      <c r="Z2" s="95"/>
    </row>
    <row r="3" spans="5:26" ht="3" customHeight="1">
      <c r="E3" s="3"/>
      <c r="K3" s="103"/>
      <c r="X3"/>
      <c r="Y3"/>
      <c r="Z3"/>
    </row>
    <row r="4" spans="2:26" ht="3" customHeight="1">
      <c r="B4" s="35"/>
      <c r="C4"/>
      <c r="E4" s="89"/>
      <c r="G4" s="21"/>
      <c r="H4" s="105"/>
      <c r="J4" s="21"/>
      <c r="K4" s="105"/>
      <c r="M4" s="21"/>
      <c r="N4" s="105"/>
      <c r="X4"/>
      <c r="Y4"/>
      <c r="Z4"/>
    </row>
    <row r="5" spans="5:26" ht="13.5">
      <c r="E5" s="3"/>
      <c r="F5" s="106"/>
      <c r="G5" s="107"/>
      <c r="H5" s="108"/>
      <c r="X5" s="109"/>
      <c r="Y5" s="109"/>
      <c r="Z5" s="109"/>
    </row>
    <row r="6" spans="2:26" ht="3" customHeight="1">
      <c r="B6" s="225"/>
      <c r="C6" s="112"/>
      <c r="D6" s="113"/>
      <c r="E6" s="113"/>
      <c r="F6" s="114"/>
      <c r="G6" s="115"/>
      <c r="H6" s="116"/>
      <c r="I6" s="117"/>
      <c r="J6" s="118"/>
      <c r="K6" s="119"/>
      <c r="L6" s="117"/>
      <c r="M6" s="118"/>
      <c r="N6" s="119"/>
      <c r="X6" s="109"/>
      <c r="Y6" s="109"/>
      <c r="Z6" s="109"/>
    </row>
    <row r="7" spans="2:26" ht="13.5">
      <c r="B7" s="25" t="s">
        <v>4</v>
      </c>
      <c r="C7" s="6" t="s">
        <v>5</v>
      </c>
      <c r="D7" s="123"/>
      <c r="E7" s="7" t="s">
        <v>3</v>
      </c>
      <c r="F7" s="124"/>
      <c r="G7" s="125" t="s">
        <v>77</v>
      </c>
      <c r="H7" s="126"/>
      <c r="I7" s="127"/>
      <c r="J7" s="125" t="s">
        <v>78</v>
      </c>
      <c r="K7" s="126"/>
      <c r="L7" s="127"/>
      <c r="M7" s="125" t="s">
        <v>79</v>
      </c>
      <c r="N7" s="126"/>
      <c r="X7" s="109" t="s">
        <v>77</v>
      </c>
      <c r="Y7" s="109" t="s">
        <v>78</v>
      </c>
      <c r="Z7" s="109" t="s">
        <v>79</v>
      </c>
    </row>
    <row r="8" spans="2:26" ht="3" customHeight="1">
      <c r="B8" s="27"/>
      <c r="C8" s="131"/>
      <c r="D8" s="20"/>
      <c r="E8" s="20"/>
      <c r="F8" s="132"/>
      <c r="G8" s="133"/>
      <c r="H8" s="134"/>
      <c r="I8" s="135"/>
      <c r="J8" s="133"/>
      <c r="K8" s="134"/>
      <c r="L8" s="135"/>
      <c r="M8" s="133"/>
      <c r="N8" s="134"/>
      <c r="X8" s="109"/>
      <c r="Y8" s="109"/>
      <c r="Z8" s="109"/>
    </row>
    <row r="9" spans="2:26" ht="12.75">
      <c r="B9" s="136">
        <f>DosF2C!$B7</f>
        <v>1</v>
      </c>
      <c r="C9" s="29" t="str">
        <f>DosF2C!C7</f>
        <v>ANDREEV S. / SOBKO S.</v>
      </c>
      <c r="D9" s="137" t="str">
        <f>DosF2C!D7</f>
        <v>W/CH</v>
      </c>
      <c r="E9" s="149" t="str">
        <f>DosF2C!E7</f>
        <v>RUS</v>
      </c>
      <c r="F9" s="138">
        <v>3</v>
      </c>
      <c r="G9" s="137" t="s">
        <v>80</v>
      </c>
      <c r="H9" s="139">
        <v>17.7</v>
      </c>
      <c r="I9" s="138">
        <v>3</v>
      </c>
      <c r="J9" s="137" t="s">
        <v>80</v>
      </c>
      <c r="K9" s="139">
        <v>17.5</v>
      </c>
      <c r="L9" s="138">
        <v>3</v>
      </c>
      <c r="M9" s="137" t="s">
        <v>80</v>
      </c>
      <c r="N9" s="140">
        <v>22.5</v>
      </c>
      <c r="X9" s="142">
        <f>IF(H9="","",IF(H9="DISQ",1000000,IF(F9=0,(10000-H9),F9*60+H9)))</f>
        <v>197.7</v>
      </c>
      <c r="Y9" s="142">
        <f>IF(K9="","",IF(K9="DISQ",1000000,IF(I9=0,(10000-K9),I9*60+K9)))</f>
        <v>197.5</v>
      </c>
      <c r="Z9" s="142">
        <f>IF(N9="","",IF(N9="DISQ",1000000,IF(L9=0,(10000-N9),L9*60+N9)))</f>
        <v>202.5</v>
      </c>
    </row>
    <row r="10" spans="2:26" ht="12.75">
      <c r="B10" s="136">
        <f>DosF2C!$B8</f>
        <v>2</v>
      </c>
      <c r="C10" s="29" t="str">
        <f>DosF2C!C8</f>
        <v>CAMERON P. / FITZGERALD R.</v>
      </c>
      <c r="D10" s="137">
        <f>DosF2C!D8</f>
        <v>0</v>
      </c>
      <c r="E10" s="149" t="str">
        <f>DosF2C!E8</f>
        <v>AUS</v>
      </c>
      <c r="F10" s="138">
        <v>3</v>
      </c>
      <c r="G10" s="137" t="s">
        <v>80</v>
      </c>
      <c r="H10" s="139">
        <v>32.2</v>
      </c>
      <c r="I10" s="138">
        <v>3</v>
      </c>
      <c r="J10" s="137" t="s">
        <v>80</v>
      </c>
      <c r="K10" s="139">
        <v>44.5</v>
      </c>
      <c r="L10" s="138">
        <v>3</v>
      </c>
      <c r="M10" s="137" t="s">
        <v>80</v>
      </c>
      <c r="N10" s="140">
        <v>28.6</v>
      </c>
      <c r="X10" s="142">
        <f aca="true" t="shared" si="0" ref="X10:X57">IF(H10="","",IF(H10="DISQ",1000000,IF(F10=0,(10000-H10),F10*60+H10)))</f>
        <v>212.2</v>
      </c>
      <c r="Y10" s="142">
        <f aca="true" t="shared" si="1" ref="Y10:Y57">IF(K10="","",IF(K10="DISQ",1000000,IF(I10=0,(10000-K10),I10*60+K10)))</f>
        <v>224.5</v>
      </c>
      <c r="Z10" s="142">
        <f aca="true" t="shared" si="2" ref="Z10:Z57">IF(N10="","",IF(N10="DISQ",1000000,IF(L10=0,(10000-N10),L10*60+N10)))</f>
        <v>208.6</v>
      </c>
    </row>
    <row r="11" spans="2:26" ht="12.75">
      <c r="B11" s="136">
        <f>DosF2C!$B9</f>
        <v>3</v>
      </c>
      <c r="C11" s="29" t="str">
        <f>DosF2C!C9</f>
        <v>JUSTIC R. / OWEN R.</v>
      </c>
      <c r="D11" s="137">
        <f>DosF2C!D9</f>
        <v>0</v>
      </c>
      <c r="E11" s="149" t="str">
        <f>DosF2C!E9</f>
        <v>AUS</v>
      </c>
      <c r="F11" s="138"/>
      <c r="G11" s="137"/>
      <c r="H11" s="361" t="s">
        <v>81</v>
      </c>
      <c r="I11" s="138">
        <v>3</v>
      </c>
      <c r="J11" s="137" t="s">
        <v>80</v>
      </c>
      <c r="K11" s="139">
        <v>34.2</v>
      </c>
      <c r="L11" s="138">
        <v>3</v>
      </c>
      <c r="M11" s="137" t="s">
        <v>80</v>
      </c>
      <c r="N11" s="140">
        <v>47.4</v>
      </c>
      <c r="X11" s="142">
        <f t="shared" si="0"/>
        <v>1000000</v>
      </c>
      <c r="Y11" s="142">
        <f t="shared" si="1"/>
        <v>214.2</v>
      </c>
      <c r="Z11" s="142">
        <f t="shared" si="2"/>
        <v>227.4</v>
      </c>
    </row>
    <row r="12" spans="2:26" ht="12.75">
      <c r="B12" s="136">
        <f>DosF2C!$B10</f>
        <v>4</v>
      </c>
      <c r="C12" s="29" t="str">
        <f>DosF2C!C10</f>
        <v>WILSON G. / STEIN P.</v>
      </c>
      <c r="D12" s="137">
        <f>DosF2C!D10</f>
        <v>0</v>
      </c>
      <c r="E12" s="149" t="str">
        <f>DosF2C!E10</f>
        <v>AUS</v>
      </c>
      <c r="F12" s="138">
        <v>3</v>
      </c>
      <c r="G12" s="137" t="s">
        <v>80</v>
      </c>
      <c r="H12" s="139">
        <v>47.9</v>
      </c>
      <c r="I12" s="138"/>
      <c r="J12" s="137"/>
      <c r="K12" s="362">
        <v>6</v>
      </c>
      <c r="L12" s="138">
        <v>4</v>
      </c>
      <c r="M12" s="137" t="s">
        <v>80</v>
      </c>
      <c r="N12" s="140">
        <v>11.1</v>
      </c>
      <c r="X12" s="142">
        <f t="shared" si="0"/>
        <v>227.9</v>
      </c>
      <c r="Y12" s="142">
        <f t="shared" si="1"/>
        <v>9994</v>
      </c>
      <c r="Z12" s="142">
        <f t="shared" si="2"/>
        <v>251.1</v>
      </c>
    </row>
    <row r="13" spans="2:26" ht="12.75">
      <c r="B13" s="136">
        <f>DosF2C!$B11</f>
        <v>5</v>
      </c>
      <c r="C13" s="29" t="str">
        <f>DosF2C!C11</f>
        <v>FISCHER J. / STRANIAK H.</v>
      </c>
      <c r="D13" s="137">
        <f>DosF2C!D11</f>
        <v>0</v>
      </c>
      <c r="E13" s="149" t="str">
        <f>DosF2C!E11</f>
        <v>AUT</v>
      </c>
      <c r="F13" s="138">
        <v>3</v>
      </c>
      <c r="G13" s="137" t="s">
        <v>80</v>
      </c>
      <c r="H13" s="139">
        <v>24.6</v>
      </c>
      <c r="I13" s="138"/>
      <c r="J13" s="137"/>
      <c r="K13" s="362">
        <v>33</v>
      </c>
      <c r="L13" s="138">
        <v>3</v>
      </c>
      <c r="M13" s="137" t="s">
        <v>80</v>
      </c>
      <c r="N13" s="140">
        <v>17</v>
      </c>
      <c r="X13" s="142">
        <f t="shared" si="0"/>
        <v>204.6</v>
      </c>
      <c r="Y13" s="142">
        <f t="shared" si="1"/>
        <v>9967</v>
      </c>
      <c r="Z13" s="142">
        <f t="shared" si="2"/>
        <v>197</v>
      </c>
    </row>
    <row r="14" spans="2:26" ht="12.75">
      <c r="B14" s="136">
        <f>DosF2C!$B12</f>
        <v>6</v>
      </c>
      <c r="C14" s="29" t="str">
        <f>DosF2C!C12</f>
        <v>NITSCHE H. / NITSCHE H.</v>
      </c>
      <c r="D14" s="137">
        <f>DosF2C!D12</f>
        <v>0</v>
      </c>
      <c r="E14" s="149" t="str">
        <f>DosF2C!E12</f>
        <v>AUT</v>
      </c>
      <c r="F14" s="138"/>
      <c r="G14" s="137"/>
      <c r="H14" s="362">
        <v>66</v>
      </c>
      <c r="I14" s="138"/>
      <c r="J14" s="137"/>
      <c r="K14" s="361" t="s">
        <v>81</v>
      </c>
      <c r="L14" s="138">
        <v>3</v>
      </c>
      <c r="M14" s="137" t="s">
        <v>80</v>
      </c>
      <c r="N14" s="140">
        <v>53.8</v>
      </c>
      <c r="X14" s="142">
        <f t="shared" si="0"/>
        <v>9934</v>
      </c>
      <c r="Y14" s="142">
        <f t="shared" si="1"/>
        <v>1000000</v>
      </c>
      <c r="Z14" s="142">
        <f t="shared" si="2"/>
        <v>233.8</v>
      </c>
    </row>
    <row r="15" spans="2:26" ht="12.75">
      <c r="B15" s="136">
        <f>DosF2C!$B13</f>
        <v>7</v>
      </c>
      <c r="C15" s="29" t="str">
        <f>DosF2C!C13</f>
        <v>DESSAUCY L. / DESSAUCY J. </v>
      </c>
      <c r="D15" s="137">
        <f>DosF2C!D13</f>
        <v>0</v>
      </c>
      <c r="E15" s="149" t="str">
        <f>DosF2C!E13</f>
        <v>BEL</v>
      </c>
      <c r="F15" s="138">
        <v>3</v>
      </c>
      <c r="G15" s="137" t="s">
        <v>80</v>
      </c>
      <c r="H15" s="139">
        <v>37.3</v>
      </c>
      <c r="I15" s="138">
        <v>3</v>
      </c>
      <c r="J15" s="137" t="s">
        <v>80</v>
      </c>
      <c r="K15" s="139">
        <v>26.8</v>
      </c>
      <c r="L15" s="138">
        <v>3</v>
      </c>
      <c r="M15" s="137" t="s">
        <v>80</v>
      </c>
      <c r="N15" s="140">
        <v>38</v>
      </c>
      <c r="X15" s="142">
        <f t="shared" si="0"/>
        <v>217.3</v>
      </c>
      <c r="Y15" s="142">
        <f t="shared" si="1"/>
        <v>206.8</v>
      </c>
      <c r="Z15" s="142">
        <f t="shared" si="2"/>
        <v>218</v>
      </c>
    </row>
    <row r="16" spans="2:26" ht="12.75">
      <c r="B16" s="136">
        <f>DosF2C!$B14</f>
        <v>8</v>
      </c>
      <c r="C16" s="29" t="str">
        <f>DosF2C!C14</f>
        <v>FAIREY R. / FAIREY B. </v>
      </c>
      <c r="D16" s="137">
        <f>DosF2C!D14</f>
        <v>0</v>
      </c>
      <c r="E16" s="149" t="str">
        <f>DosF2C!E14</f>
        <v>CAN</v>
      </c>
      <c r="F16" s="138"/>
      <c r="G16" s="137"/>
      <c r="H16" s="362">
        <v>67</v>
      </c>
      <c r="I16" s="138">
        <v>3</v>
      </c>
      <c r="J16" s="137" t="s">
        <v>80</v>
      </c>
      <c r="K16" s="139">
        <v>56.9</v>
      </c>
      <c r="L16" s="138"/>
      <c r="M16" s="137"/>
      <c r="N16" s="364"/>
      <c r="X16" s="142">
        <f t="shared" si="0"/>
        <v>9933</v>
      </c>
      <c r="Y16" s="142">
        <f t="shared" si="1"/>
        <v>236.9</v>
      </c>
      <c r="Z16" s="142">
        <f t="shared" si="2"/>
      </c>
    </row>
    <row r="17" spans="2:26" ht="12.75">
      <c r="B17" s="136">
        <f>DosF2C!$B15</f>
        <v>9</v>
      </c>
      <c r="C17" s="29" t="str">
        <f>DosF2C!C15</f>
        <v>JAREBEK J. / PARENT K.</v>
      </c>
      <c r="D17" s="137">
        <f>DosF2C!D15</f>
        <v>0</v>
      </c>
      <c r="E17" s="149" t="str">
        <f>DosF2C!E15</f>
        <v>CAN</v>
      </c>
      <c r="F17" s="138">
        <v>4</v>
      </c>
      <c r="G17" s="137" t="s">
        <v>80</v>
      </c>
      <c r="H17" s="139">
        <v>10.3</v>
      </c>
      <c r="I17" s="138"/>
      <c r="J17" s="137"/>
      <c r="K17" s="361" t="s">
        <v>81</v>
      </c>
      <c r="L17" s="138">
        <v>4</v>
      </c>
      <c r="M17" s="137" t="s">
        <v>80</v>
      </c>
      <c r="N17" s="140">
        <v>45.2</v>
      </c>
      <c r="X17" s="142">
        <f t="shared" si="0"/>
        <v>250.3</v>
      </c>
      <c r="Y17" s="142">
        <f t="shared" si="1"/>
        <v>1000000</v>
      </c>
      <c r="Z17" s="142">
        <f t="shared" si="2"/>
        <v>285.2</v>
      </c>
    </row>
    <row r="18" spans="2:26" ht="12.75">
      <c r="B18" s="136">
        <f>DosF2C!$B16</f>
        <v>10</v>
      </c>
      <c r="C18" s="29" t="str">
        <f>DosF2C!C16</f>
        <v>BARRAGAN A. / BARRAGAN J.</v>
      </c>
      <c r="D18" s="137">
        <f>DosF2C!D16</f>
        <v>0</v>
      </c>
      <c r="E18" s="149" t="str">
        <f>DosF2C!E16</f>
        <v>ESP</v>
      </c>
      <c r="F18" s="138">
        <v>3</v>
      </c>
      <c r="G18" s="137" t="s">
        <v>80</v>
      </c>
      <c r="H18" s="139">
        <v>36.4</v>
      </c>
      <c r="I18" s="138">
        <v>4</v>
      </c>
      <c r="J18" s="137" t="s">
        <v>80</v>
      </c>
      <c r="K18" s="140">
        <v>13.8</v>
      </c>
      <c r="L18" s="138">
        <v>3</v>
      </c>
      <c r="M18" s="137" t="s">
        <v>80</v>
      </c>
      <c r="N18" s="140">
        <v>55.8</v>
      </c>
      <c r="X18" s="142">
        <f t="shared" si="0"/>
        <v>216.4</v>
      </c>
      <c r="Y18" s="142">
        <f t="shared" si="1"/>
        <v>253.8</v>
      </c>
      <c r="Z18" s="142">
        <f t="shared" si="2"/>
        <v>235.8</v>
      </c>
    </row>
    <row r="19" spans="2:26" ht="12.75">
      <c r="B19" s="136">
        <f>DosF2C!$B17</f>
        <v>11</v>
      </c>
      <c r="C19" s="29" t="str">
        <f>DosF2C!C17</f>
        <v>CRESPI M. / CRESPI P.</v>
      </c>
      <c r="D19" s="137">
        <f>DosF2C!D17</f>
        <v>0</v>
      </c>
      <c r="E19" s="149" t="str">
        <f>DosF2C!E17</f>
        <v>ESP</v>
      </c>
      <c r="F19" s="138"/>
      <c r="G19" s="137"/>
      <c r="H19" s="361" t="s">
        <v>81</v>
      </c>
      <c r="I19" s="138">
        <v>3</v>
      </c>
      <c r="J19" s="137" t="s">
        <v>80</v>
      </c>
      <c r="K19" s="140">
        <v>27.4</v>
      </c>
      <c r="L19" s="138"/>
      <c r="M19" s="137"/>
      <c r="N19" s="363" t="s">
        <v>81</v>
      </c>
      <c r="X19" s="142">
        <f t="shared" si="0"/>
        <v>1000000</v>
      </c>
      <c r="Y19" s="142">
        <f t="shared" si="1"/>
        <v>207.4</v>
      </c>
      <c r="Z19" s="142">
        <f t="shared" si="2"/>
        <v>1000000</v>
      </c>
    </row>
    <row r="20" spans="2:26" ht="12.75">
      <c r="B20" s="136">
        <f>DosF2C!$B18</f>
        <v>12</v>
      </c>
      <c r="C20" s="29" t="str">
        <f>DosF2C!C18</f>
        <v>LOPEZ J. / DEL HOYO C. </v>
      </c>
      <c r="D20" s="137">
        <f>DosF2C!D18</f>
        <v>0</v>
      </c>
      <c r="E20" s="149" t="str">
        <f>DosF2C!E18</f>
        <v>ESP</v>
      </c>
      <c r="F20" s="138">
        <v>3</v>
      </c>
      <c r="G20" s="137" t="s">
        <v>80</v>
      </c>
      <c r="H20" s="139">
        <v>51.3</v>
      </c>
      <c r="I20" s="138">
        <v>3</v>
      </c>
      <c r="J20" s="137" t="s">
        <v>80</v>
      </c>
      <c r="K20" s="140">
        <v>38.4</v>
      </c>
      <c r="L20" s="138">
        <v>4</v>
      </c>
      <c r="M20" s="137" t="s">
        <v>80</v>
      </c>
      <c r="N20" s="140">
        <v>17.7</v>
      </c>
      <c r="X20" s="142">
        <f t="shared" si="0"/>
        <v>231.3</v>
      </c>
      <c r="Y20" s="142">
        <f t="shared" si="1"/>
        <v>218.4</v>
      </c>
      <c r="Z20" s="142">
        <f t="shared" si="2"/>
        <v>257.7</v>
      </c>
    </row>
    <row r="21" spans="2:26" ht="12.75">
      <c r="B21" s="136">
        <f>DosF2C!$B19</f>
        <v>13</v>
      </c>
      <c r="C21" s="29" t="str">
        <f>DosF2C!C19</f>
        <v>MARET J. / PERRET J.P.</v>
      </c>
      <c r="D21" s="137">
        <f>DosF2C!D19</f>
        <v>0</v>
      </c>
      <c r="E21" s="149" t="str">
        <f>DosF2C!E19</f>
        <v>FRA</v>
      </c>
      <c r="F21" s="138"/>
      <c r="G21" s="137"/>
      <c r="H21" s="362">
        <v>69</v>
      </c>
      <c r="I21" s="138">
        <v>3</v>
      </c>
      <c r="J21" s="137" t="s">
        <v>80</v>
      </c>
      <c r="K21" s="140">
        <v>27.7</v>
      </c>
      <c r="L21" s="138">
        <v>3</v>
      </c>
      <c r="M21" s="137" t="s">
        <v>80</v>
      </c>
      <c r="N21" s="140">
        <v>12.2</v>
      </c>
      <c r="X21" s="142">
        <f t="shared" si="0"/>
        <v>9931</v>
      </c>
      <c r="Y21" s="142">
        <f t="shared" si="1"/>
        <v>207.7</v>
      </c>
      <c r="Z21" s="142">
        <f t="shared" si="2"/>
        <v>192.2</v>
      </c>
    </row>
    <row r="22" spans="2:26" ht="12.75">
      <c r="B22" s="136">
        <f>DosF2C!$B20</f>
        <v>14</v>
      </c>
      <c r="C22" s="29" t="str">
        <f>DosF2C!C20</f>
        <v>DELOR B. / CONSTANT P.</v>
      </c>
      <c r="D22" s="137">
        <f>DosF2C!D20</f>
        <v>0</v>
      </c>
      <c r="E22" s="149" t="str">
        <f>DosF2C!E20</f>
        <v>FRA</v>
      </c>
      <c r="F22" s="138">
        <v>3</v>
      </c>
      <c r="G22" s="137" t="s">
        <v>80</v>
      </c>
      <c r="H22" s="139">
        <v>21.1</v>
      </c>
      <c r="I22" s="138"/>
      <c r="J22" s="137"/>
      <c r="K22" s="364">
        <v>34</v>
      </c>
      <c r="L22" s="138"/>
      <c r="M22" s="137"/>
      <c r="N22" s="363" t="s">
        <v>81</v>
      </c>
      <c r="X22" s="142">
        <f t="shared" si="0"/>
        <v>201.1</v>
      </c>
      <c r="Y22" s="142">
        <f t="shared" si="1"/>
        <v>9966</v>
      </c>
      <c r="Z22" s="142">
        <f t="shared" si="2"/>
        <v>1000000</v>
      </c>
    </row>
    <row r="23" spans="2:26" ht="12.75">
      <c r="B23" s="136">
        <f>DosF2C!$B21</f>
        <v>15</v>
      </c>
      <c r="C23" s="29" t="str">
        <f>DosF2C!C21</f>
        <v>SURUGUE P. / SURUGUE G.</v>
      </c>
      <c r="D23" s="137">
        <f>DosF2C!D21</f>
        <v>0</v>
      </c>
      <c r="E23" s="149" t="str">
        <f>DosF2C!E21</f>
        <v>FRA</v>
      </c>
      <c r="F23" s="138">
        <v>3</v>
      </c>
      <c r="G23" s="137" t="s">
        <v>80</v>
      </c>
      <c r="H23" s="139">
        <v>18.4</v>
      </c>
      <c r="I23" s="138"/>
      <c r="J23" s="137"/>
      <c r="K23" s="364">
        <v>74</v>
      </c>
      <c r="L23" s="138"/>
      <c r="M23" s="137"/>
      <c r="N23" s="364"/>
      <c r="X23" s="142">
        <f t="shared" si="0"/>
        <v>198.4</v>
      </c>
      <c r="Y23" s="142">
        <f t="shared" si="1"/>
        <v>9926</v>
      </c>
      <c r="Z23" s="142">
        <f t="shared" si="2"/>
      </c>
    </row>
    <row r="24" spans="2:26" ht="12.75">
      <c r="B24" s="136">
        <f>DosF2C!$B22</f>
        <v>16</v>
      </c>
      <c r="C24" s="29" t="str">
        <f>DosF2C!C22</f>
        <v>BUCCI L. / PERRET C.</v>
      </c>
      <c r="D24" s="137" t="str">
        <f>DosF2C!D22</f>
        <v>Jun</v>
      </c>
      <c r="E24" s="149" t="str">
        <f>DosF2C!E22</f>
        <v>FRA</v>
      </c>
      <c r="F24" s="138"/>
      <c r="G24" s="137"/>
      <c r="H24" s="362">
        <v>19</v>
      </c>
      <c r="I24" s="138">
        <v>3</v>
      </c>
      <c r="J24" s="137" t="s">
        <v>80</v>
      </c>
      <c r="K24" s="140">
        <v>55.2</v>
      </c>
      <c r="L24" s="138">
        <v>4</v>
      </c>
      <c r="M24" s="137" t="s">
        <v>80</v>
      </c>
      <c r="N24" s="140">
        <v>14</v>
      </c>
      <c r="X24" s="142">
        <f t="shared" si="0"/>
        <v>9981</v>
      </c>
      <c r="Y24" s="142">
        <f t="shared" si="1"/>
        <v>235.2</v>
      </c>
      <c r="Z24" s="142">
        <f t="shared" si="2"/>
        <v>254</v>
      </c>
    </row>
    <row r="25" spans="2:26" ht="12.75">
      <c r="B25" s="136">
        <f>DosF2C!$B23</f>
        <v>17</v>
      </c>
      <c r="C25" s="29" t="str">
        <f>DosF2C!C23</f>
        <v>LINDEMANN R. / KIEL U.</v>
      </c>
      <c r="D25" s="137">
        <f>DosF2C!D23</f>
        <v>0</v>
      </c>
      <c r="E25" s="149" t="str">
        <f>DosF2C!E23</f>
        <v>GER</v>
      </c>
      <c r="F25" s="138"/>
      <c r="G25" s="137"/>
      <c r="H25" s="362">
        <v>31</v>
      </c>
      <c r="I25" s="138"/>
      <c r="J25" s="137"/>
      <c r="K25" s="363" t="s">
        <v>81</v>
      </c>
      <c r="L25" s="138">
        <v>3</v>
      </c>
      <c r="M25" s="137" t="s">
        <v>80</v>
      </c>
      <c r="N25" s="140">
        <v>46.5</v>
      </c>
      <c r="X25" s="142">
        <f t="shared" si="0"/>
        <v>9969</v>
      </c>
      <c r="Y25" s="142">
        <f t="shared" si="1"/>
        <v>1000000</v>
      </c>
      <c r="Z25" s="142">
        <f t="shared" si="2"/>
        <v>226.5</v>
      </c>
    </row>
    <row r="26" spans="2:26" ht="12.75">
      <c r="B26" s="136">
        <f>DosF2C!$B24</f>
        <v>18</v>
      </c>
      <c r="C26" s="29" t="str">
        <f>DosF2C!C24</f>
        <v>MARSCHALL H./ KUCKELKORN F.</v>
      </c>
      <c r="D26" s="137">
        <f>DosF2C!D24</f>
        <v>0</v>
      </c>
      <c r="E26" s="149" t="str">
        <f>DosF2C!E24</f>
        <v>GER</v>
      </c>
      <c r="F26" s="138"/>
      <c r="G26" s="137"/>
      <c r="H26" s="362">
        <v>26</v>
      </c>
      <c r="I26" s="138">
        <v>3</v>
      </c>
      <c r="J26" s="137" t="s">
        <v>80</v>
      </c>
      <c r="K26" s="140">
        <v>43.2</v>
      </c>
      <c r="L26" s="138">
        <v>3</v>
      </c>
      <c r="M26" s="137" t="s">
        <v>80</v>
      </c>
      <c r="N26" s="140">
        <v>47.2</v>
      </c>
      <c r="X26" s="142">
        <f t="shared" si="0"/>
        <v>9974</v>
      </c>
      <c r="Y26" s="142">
        <f t="shared" si="1"/>
        <v>223.2</v>
      </c>
      <c r="Z26" s="142">
        <f t="shared" si="2"/>
        <v>227.2</v>
      </c>
    </row>
    <row r="27" spans="2:26" ht="12.75">
      <c r="B27" s="136">
        <f>DosF2C!$B25</f>
        <v>19</v>
      </c>
      <c r="C27" s="29" t="str">
        <f>DosF2C!C25</f>
        <v>ROSS M. / TURNER B.</v>
      </c>
      <c r="D27" s="137">
        <f>DosF2C!D25</f>
        <v>0</v>
      </c>
      <c r="E27" s="149" t="str">
        <f>DosF2C!E25</f>
        <v>GBR</v>
      </c>
      <c r="F27" s="138">
        <v>3</v>
      </c>
      <c r="G27" s="137" t="s">
        <v>80</v>
      </c>
      <c r="H27" s="139">
        <v>19.7</v>
      </c>
      <c r="I27" s="138">
        <v>3</v>
      </c>
      <c r="J27" s="137" t="s">
        <v>80</v>
      </c>
      <c r="K27" s="140">
        <v>20.5</v>
      </c>
      <c r="L27" s="138">
        <v>3</v>
      </c>
      <c r="M27" s="137" t="s">
        <v>80</v>
      </c>
      <c r="N27" s="140">
        <v>22</v>
      </c>
      <c r="X27" s="142">
        <f t="shared" si="0"/>
        <v>199.7</v>
      </c>
      <c r="Y27" s="142">
        <f t="shared" si="1"/>
        <v>200.5</v>
      </c>
      <c r="Z27" s="142">
        <f t="shared" si="2"/>
        <v>202</v>
      </c>
    </row>
    <row r="28" spans="2:26" ht="12.75">
      <c r="B28" s="136">
        <f>DosF2C!$B26</f>
        <v>20</v>
      </c>
      <c r="C28" s="29" t="str">
        <f>DosF2C!C26</f>
        <v>LANGWORTH B. / CAMPBELL D.</v>
      </c>
      <c r="D28" s="137">
        <f>DosF2C!D26</f>
        <v>0</v>
      </c>
      <c r="E28" s="149" t="str">
        <f>DosF2C!E26</f>
        <v>GBR</v>
      </c>
      <c r="F28" s="138">
        <v>3</v>
      </c>
      <c r="G28" s="137" t="s">
        <v>80</v>
      </c>
      <c r="H28" s="139">
        <v>28.8</v>
      </c>
      <c r="I28" s="138"/>
      <c r="J28" s="137"/>
      <c r="K28" s="363" t="s">
        <v>81</v>
      </c>
      <c r="L28" s="138">
        <v>3</v>
      </c>
      <c r="M28" s="137" t="s">
        <v>80</v>
      </c>
      <c r="N28" s="140">
        <v>55</v>
      </c>
      <c r="X28" s="142">
        <f t="shared" si="0"/>
        <v>208.8</v>
      </c>
      <c r="Y28" s="142">
        <f t="shared" si="1"/>
        <v>1000000</v>
      </c>
      <c r="Z28" s="142">
        <f t="shared" si="2"/>
        <v>235</v>
      </c>
    </row>
    <row r="29" spans="2:26" ht="12.75">
      <c r="B29" s="136">
        <f>DosF2C!$B27</f>
        <v>21</v>
      </c>
      <c r="C29" s="29" t="str">
        <f>DosF2C!C27</f>
        <v>SMITH S. / BROWN C.</v>
      </c>
      <c r="D29" s="137">
        <f>DosF2C!D27</f>
        <v>0</v>
      </c>
      <c r="E29" s="149" t="str">
        <f>DosF2C!E27</f>
        <v>GBR</v>
      </c>
      <c r="F29" s="138">
        <v>3</v>
      </c>
      <c r="G29" s="137" t="s">
        <v>80</v>
      </c>
      <c r="H29" s="139">
        <v>25.9</v>
      </c>
      <c r="I29" s="138">
        <v>3</v>
      </c>
      <c r="J29" s="137" t="s">
        <v>80</v>
      </c>
      <c r="K29" s="140">
        <v>31.9</v>
      </c>
      <c r="L29" s="138">
        <v>3</v>
      </c>
      <c r="M29" s="137" t="s">
        <v>80</v>
      </c>
      <c r="N29" s="140">
        <v>26.5</v>
      </c>
      <c r="X29" s="142">
        <f t="shared" si="0"/>
        <v>205.9</v>
      </c>
      <c r="Y29" s="142">
        <f t="shared" si="1"/>
        <v>211.9</v>
      </c>
      <c r="Z29" s="142">
        <f t="shared" si="2"/>
        <v>206.5</v>
      </c>
    </row>
    <row r="30" spans="2:26" ht="12.75">
      <c r="B30" s="136">
        <f>DosF2C!$B28</f>
        <v>22</v>
      </c>
      <c r="C30" s="29" t="str">
        <f>DosF2C!C28</f>
        <v>ORVOS F. / NAGY Z.</v>
      </c>
      <c r="D30" s="137">
        <f>DosF2C!D28</f>
        <v>0</v>
      </c>
      <c r="E30" s="149" t="str">
        <f>DosF2C!E28</f>
        <v>HUN</v>
      </c>
      <c r="F30" s="138">
        <v>3</v>
      </c>
      <c r="G30" s="137" t="s">
        <v>80</v>
      </c>
      <c r="H30" s="139">
        <v>55.1</v>
      </c>
      <c r="I30" s="138"/>
      <c r="J30" s="137"/>
      <c r="K30" s="364">
        <v>71</v>
      </c>
      <c r="L30" s="138"/>
      <c r="M30" s="137"/>
      <c r="N30" s="363" t="s">
        <v>81</v>
      </c>
      <c r="X30" s="142">
        <f t="shared" si="0"/>
        <v>235.1</v>
      </c>
      <c r="Y30" s="142">
        <f t="shared" si="1"/>
        <v>9929</v>
      </c>
      <c r="Z30" s="142">
        <f t="shared" si="2"/>
        <v>1000000</v>
      </c>
    </row>
    <row r="31" spans="2:26" ht="12.75">
      <c r="B31" s="136">
        <f>DosF2C!$B29</f>
        <v>23</v>
      </c>
      <c r="C31" s="29" t="str">
        <f>DosF2C!C29</f>
        <v>MOHAI I. / SZVACSEK F.</v>
      </c>
      <c r="D31" s="137">
        <f>DosF2C!D29</f>
        <v>0</v>
      </c>
      <c r="E31" s="149" t="str">
        <f>DosF2C!E29</f>
        <v>HUN</v>
      </c>
      <c r="F31" s="138"/>
      <c r="G31" s="137"/>
      <c r="H31" s="362">
        <v>84</v>
      </c>
      <c r="I31" s="138">
        <v>3</v>
      </c>
      <c r="J31" s="137" t="s">
        <v>80</v>
      </c>
      <c r="K31" s="140">
        <v>38</v>
      </c>
      <c r="L31" s="138">
        <v>3</v>
      </c>
      <c r="M31" s="137" t="s">
        <v>80</v>
      </c>
      <c r="N31" s="140">
        <v>30</v>
      </c>
      <c r="X31" s="142">
        <f t="shared" si="0"/>
        <v>9916</v>
      </c>
      <c r="Y31" s="142">
        <f t="shared" si="1"/>
        <v>218</v>
      </c>
      <c r="Z31" s="142">
        <f t="shared" si="2"/>
        <v>210</v>
      </c>
    </row>
    <row r="32" spans="2:26" ht="12.75">
      <c r="B32" s="136">
        <f>DosF2C!$B30</f>
        <v>24</v>
      </c>
      <c r="C32" s="29" t="str">
        <f>DosF2C!C30</f>
        <v>PENNISI R. / ROSSI A.</v>
      </c>
      <c r="D32" s="137">
        <f>DosF2C!D30</f>
        <v>0</v>
      </c>
      <c r="E32" s="149" t="str">
        <f>DosF2C!E30</f>
        <v>ITA</v>
      </c>
      <c r="F32" s="138">
        <v>3</v>
      </c>
      <c r="G32" s="137" t="s">
        <v>80</v>
      </c>
      <c r="H32" s="139">
        <v>15</v>
      </c>
      <c r="I32" s="138">
        <v>3</v>
      </c>
      <c r="J32" s="137" t="s">
        <v>80</v>
      </c>
      <c r="K32" s="140">
        <v>34.4</v>
      </c>
      <c r="L32" s="138"/>
      <c r="M32" s="137"/>
      <c r="N32" s="363" t="s">
        <v>81</v>
      </c>
      <c r="X32" s="142">
        <f t="shared" si="0"/>
        <v>195</v>
      </c>
      <c r="Y32" s="142">
        <f t="shared" si="1"/>
        <v>214.4</v>
      </c>
      <c r="Z32" s="142">
        <f t="shared" si="2"/>
        <v>1000000</v>
      </c>
    </row>
    <row r="33" spans="2:26" ht="12.75">
      <c r="B33" s="136">
        <f>DosF2C!$B31</f>
        <v>25</v>
      </c>
      <c r="C33" s="29" t="str">
        <f>DosF2C!C31</f>
        <v>MAGLI M./  PIRAZZINI E.</v>
      </c>
      <c r="D33" s="137">
        <f>DosF2C!D31</f>
        <v>0</v>
      </c>
      <c r="E33" s="149" t="str">
        <f>DosF2C!E31</f>
        <v>ITA</v>
      </c>
      <c r="F33" s="138">
        <v>4</v>
      </c>
      <c r="G33" s="137" t="s">
        <v>80</v>
      </c>
      <c r="H33" s="139">
        <v>7.06</v>
      </c>
      <c r="I33" s="138">
        <v>3</v>
      </c>
      <c r="J33" s="137" t="s">
        <v>80</v>
      </c>
      <c r="K33" s="140">
        <v>27.2</v>
      </c>
      <c r="L33" s="138">
        <v>3</v>
      </c>
      <c r="M33" s="137" t="s">
        <v>80</v>
      </c>
      <c r="N33" s="140">
        <v>21.1</v>
      </c>
      <c r="X33" s="142">
        <f t="shared" si="0"/>
        <v>247.06</v>
      </c>
      <c r="Y33" s="142">
        <f t="shared" si="1"/>
        <v>207.2</v>
      </c>
      <c r="Z33" s="142">
        <f t="shared" si="2"/>
        <v>201.1</v>
      </c>
    </row>
    <row r="34" spans="2:26" ht="12.75">
      <c r="B34" s="136">
        <f>DosF2C!$B32</f>
        <v>26</v>
      </c>
      <c r="C34" s="29" t="str">
        <f>DosF2C!C32</f>
        <v>MARTINI G. / MENOZZI M.</v>
      </c>
      <c r="D34" s="137">
        <f>DosF2C!D32</f>
        <v>0</v>
      </c>
      <c r="E34" s="149" t="str">
        <f>DosF2C!E32</f>
        <v>ITA</v>
      </c>
      <c r="F34" s="138">
        <v>3</v>
      </c>
      <c r="G34" s="137" t="s">
        <v>80</v>
      </c>
      <c r="H34" s="139">
        <v>21.3</v>
      </c>
      <c r="I34" s="138">
        <v>3</v>
      </c>
      <c r="J34" s="137" t="s">
        <v>80</v>
      </c>
      <c r="K34" s="140">
        <v>25.9</v>
      </c>
      <c r="L34" s="138">
        <v>3</v>
      </c>
      <c r="M34" s="137" t="s">
        <v>80</v>
      </c>
      <c r="N34" s="140">
        <v>20.4</v>
      </c>
      <c r="X34" s="142">
        <f t="shared" si="0"/>
        <v>201.3</v>
      </c>
      <c r="Y34" s="142">
        <f t="shared" si="1"/>
        <v>205.9</v>
      </c>
      <c r="Z34" s="142">
        <f t="shared" si="2"/>
        <v>200.4</v>
      </c>
    </row>
    <row r="35" spans="2:26" ht="12.75">
      <c r="B35" s="136">
        <f>DosF2C!$B34</f>
        <v>28</v>
      </c>
      <c r="C35" s="29" t="str">
        <f>DosF2C!C34</f>
        <v>VENDEL Micha / METKEMEIJER R.</v>
      </c>
      <c r="D35" s="137">
        <f>DosF2C!D34</f>
        <v>0</v>
      </c>
      <c r="E35" s="149" t="str">
        <f>DosF2C!E34</f>
        <v>NED</v>
      </c>
      <c r="F35" s="138">
        <v>3</v>
      </c>
      <c r="G35" s="137" t="s">
        <v>80</v>
      </c>
      <c r="H35" s="139">
        <v>40.2</v>
      </c>
      <c r="I35" s="138"/>
      <c r="J35" s="137"/>
      <c r="K35" s="363" t="s">
        <v>81</v>
      </c>
      <c r="L35" s="138">
        <v>3</v>
      </c>
      <c r="M35" s="137" t="s">
        <v>80</v>
      </c>
      <c r="N35" s="140">
        <v>27.3</v>
      </c>
      <c r="X35" s="142">
        <f t="shared" si="0"/>
        <v>220.2</v>
      </c>
      <c r="Y35" s="142">
        <f t="shared" si="1"/>
        <v>1000000</v>
      </c>
      <c r="Z35" s="142">
        <f t="shared" si="2"/>
        <v>207.3</v>
      </c>
    </row>
    <row r="36" spans="2:26" ht="12.75">
      <c r="B36" s="136">
        <f>DosF2C!$B35</f>
        <v>29</v>
      </c>
      <c r="C36" s="29" t="str">
        <f>DosF2C!C35</f>
        <v>ZUCHOWSKI M. / DABROWSKI K.</v>
      </c>
      <c r="D36" s="137" t="str">
        <f>DosF2C!D35</f>
        <v>Jun</v>
      </c>
      <c r="E36" s="149" t="str">
        <f>DosF2C!E35</f>
        <v>POL</v>
      </c>
      <c r="F36" s="138"/>
      <c r="G36" s="137"/>
      <c r="H36" s="361" t="s">
        <v>81</v>
      </c>
      <c r="I36" s="138"/>
      <c r="J36" s="137" t="s">
        <v>80</v>
      </c>
      <c r="K36" s="140">
        <v>0</v>
      </c>
      <c r="L36" s="138"/>
      <c r="M36" s="137"/>
      <c r="N36" s="364">
        <v>56</v>
      </c>
      <c r="X36" s="142">
        <f t="shared" si="0"/>
        <v>1000000</v>
      </c>
      <c r="Y36" s="142">
        <f t="shared" si="1"/>
        <v>10000</v>
      </c>
      <c r="Z36" s="142">
        <f t="shared" si="2"/>
        <v>9944</v>
      </c>
    </row>
    <row r="37" spans="2:26" ht="12.75">
      <c r="B37" s="136">
        <f>DosF2C!$B36</f>
        <v>30</v>
      </c>
      <c r="C37" s="29" t="str">
        <f>DosF2C!C36</f>
        <v>CONTENTE A. / SECO F.</v>
      </c>
      <c r="D37" s="137">
        <f>DosF2C!D36</f>
        <v>0</v>
      </c>
      <c r="E37" s="149" t="str">
        <f>DosF2C!E36</f>
        <v>POR</v>
      </c>
      <c r="F37" s="138">
        <v>3</v>
      </c>
      <c r="G37" s="137" t="s">
        <v>80</v>
      </c>
      <c r="H37" s="139">
        <v>57.2</v>
      </c>
      <c r="I37" s="138">
        <v>4</v>
      </c>
      <c r="J37" s="137" t="s">
        <v>80</v>
      </c>
      <c r="K37" s="140">
        <v>9.7</v>
      </c>
      <c r="L37" s="138">
        <v>3</v>
      </c>
      <c r="M37" s="137" t="s">
        <v>80</v>
      </c>
      <c r="N37" s="140">
        <v>57.3</v>
      </c>
      <c r="X37" s="142">
        <f t="shared" si="0"/>
        <v>237.2</v>
      </c>
      <c r="Y37" s="142">
        <f t="shared" si="1"/>
        <v>249.7</v>
      </c>
      <c r="Z37" s="142">
        <f t="shared" si="2"/>
        <v>237.3</v>
      </c>
    </row>
    <row r="38" spans="2:26" ht="12.75">
      <c r="B38" s="136">
        <f>DosF2C!$B37</f>
        <v>31</v>
      </c>
      <c r="C38" s="29" t="str">
        <f>DosF2C!C37</f>
        <v>MORTINHO A. / GOULAO J.</v>
      </c>
      <c r="D38" s="137">
        <f>DosF2C!D37</f>
        <v>0</v>
      </c>
      <c r="E38" s="149" t="str">
        <f>DosF2C!E37</f>
        <v>POR</v>
      </c>
      <c r="F38" s="138"/>
      <c r="G38" s="137"/>
      <c r="H38" s="361" t="s">
        <v>81</v>
      </c>
      <c r="I38" s="138">
        <v>3</v>
      </c>
      <c r="J38" s="137" t="s">
        <v>80</v>
      </c>
      <c r="K38" s="140">
        <v>25.3</v>
      </c>
      <c r="L38" s="138">
        <v>3</v>
      </c>
      <c r="M38" s="137" t="s">
        <v>80</v>
      </c>
      <c r="N38" s="140">
        <v>17.6</v>
      </c>
      <c r="X38" s="142">
        <f t="shared" si="0"/>
        <v>1000000</v>
      </c>
      <c r="Y38" s="142">
        <f t="shared" si="1"/>
        <v>205.3</v>
      </c>
      <c r="Z38" s="142">
        <f t="shared" si="2"/>
        <v>197.6</v>
      </c>
    </row>
    <row r="39" spans="2:26" ht="12.75">
      <c r="B39" s="136">
        <f>DosF2C!$B38</f>
        <v>32</v>
      </c>
      <c r="C39" s="29" t="str">
        <f>DosF2C!C38</f>
        <v>CHABACHOV J. / MOSKALEEV S.</v>
      </c>
      <c r="D39" s="137">
        <f>DosF2C!D38</f>
        <v>0</v>
      </c>
      <c r="E39" s="149" t="str">
        <f>DosF2C!E38</f>
        <v>RUS</v>
      </c>
      <c r="F39" s="138">
        <v>3</v>
      </c>
      <c r="G39" s="137" t="s">
        <v>80</v>
      </c>
      <c r="H39" s="139">
        <v>30.6</v>
      </c>
      <c r="I39" s="138">
        <v>3</v>
      </c>
      <c r="J39" s="137" t="s">
        <v>80</v>
      </c>
      <c r="K39" s="140">
        <v>24.4</v>
      </c>
      <c r="L39" s="138">
        <v>3</v>
      </c>
      <c r="M39" s="137" t="s">
        <v>80</v>
      </c>
      <c r="N39" s="140">
        <v>12.9</v>
      </c>
      <c r="X39" s="142">
        <f t="shared" si="0"/>
        <v>210.6</v>
      </c>
      <c r="Y39" s="142">
        <f t="shared" si="1"/>
        <v>204.4</v>
      </c>
      <c r="Z39" s="142">
        <f t="shared" si="2"/>
        <v>192.9</v>
      </c>
    </row>
    <row r="40" spans="2:26" ht="12.75">
      <c r="B40" s="136">
        <f>DosF2C!$B39</f>
        <v>33</v>
      </c>
      <c r="C40" s="29" t="str">
        <f>DosF2C!C39</f>
        <v>SURKOV O. / BALEZINE V.</v>
      </c>
      <c r="D40" s="137">
        <f>DosF2C!D39</f>
        <v>0</v>
      </c>
      <c r="E40" s="149" t="str">
        <f>DosF2C!E39</f>
        <v>RUS</v>
      </c>
      <c r="F40" s="138"/>
      <c r="G40" s="137"/>
      <c r="H40" s="361" t="s">
        <v>81</v>
      </c>
      <c r="I40" s="138">
        <v>4</v>
      </c>
      <c r="J40" s="137" t="s">
        <v>80</v>
      </c>
      <c r="K40" s="140">
        <v>4.9</v>
      </c>
      <c r="L40" s="138">
        <v>3</v>
      </c>
      <c r="M40" s="137" t="s">
        <v>80</v>
      </c>
      <c r="N40" s="140">
        <v>32.4</v>
      </c>
      <c r="X40" s="142">
        <f t="shared" si="0"/>
        <v>1000000</v>
      </c>
      <c r="Y40" s="142">
        <f t="shared" si="1"/>
        <v>244.9</v>
      </c>
      <c r="Z40" s="142">
        <f t="shared" si="2"/>
        <v>212.4</v>
      </c>
    </row>
    <row r="41" spans="2:26" ht="12.75">
      <c r="B41" s="136">
        <f>DosF2C!$B40</f>
        <v>34</v>
      </c>
      <c r="C41" s="29" t="str">
        <f>DosF2C!C40</f>
        <v>TITOV V. / JOUGOV V.</v>
      </c>
      <c r="D41" s="137">
        <f>DosF2C!D40</f>
        <v>0</v>
      </c>
      <c r="E41" s="149" t="str">
        <f>DosF2C!E40</f>
        <v>RUS</v>
      </c>
      <c r="F41" s="138">
        <v>3</v>
      </c>
      <c r="G41" s="137" t="s">
        <v>80</v>
      </c>
      <c r="H41" s="139">
        <v>27</v>
      </c>
      <c r="I41" s="138">
        <v>3</v>
      </c>
      <c r="J41" s="137" t="s">
        <v>80</v>
      </c>
      <c r="K41" s="140">
        <v>18</v>
      </c>
      <c r="L41" s="138">
        <v>3</v>
      </c>
      <c r="M41" s="137" t="s">
        <v>80</v>
      </c>
      <c r="N41" s="140">
        <v>54</v>
      </c>
      <c r="X41" s="142">
        <f t="shared" si="0"/>
        <v>207</v>
      </c>
      <c r="Y41" s="142">
        <f t="shared" si="1"/>
        <v>198</v>
      </c>
      <c r="Z41" s="142">
        <f t="shared" si="2"/>
        <v>234</v>
      </c>
    </row>
    <row r="42" spans="2:26" ht="12.75">
      <c r="B42" s="136">
        <f>DosF2C!$B41</f>
        <v>35</v>
      </c>
      <c r="C42" s="29" t="str">
        <f>DosF2C!C41</f>
        <v>USTINOV D. / ORESHKINE A.</v>
      </c>
      <c r="D42" s="137" t="str">
        <f>DosF2C!D41</f>
        <v>Jun</v>
      </c>
      <c r="E42" s="149" t="str">
        <f>DosF2C!E41</f>
        <v>RUS</v>
      </c>
      <c r="F42" s="138"/>
      <c r="G42" s="137"/>
      <c r="H42" s="361" t="s">
        <v>81</v>
      </c>
      <c r="I42" s="138"/>
      <c r="J42" s="137"/>
      <c r="K42" s="363" t="s">
        <v>81</v>
      </c>
      <c r="L42" s="138">
        <v>4</v>
      </c>
      <c r="M42" s="137" t="s">
        <v>80</v>
      </c>
      <c r="N42" s="140">
        <v>8.8</v>
      </c>
      <c r="X42" s="142">
        <f t="shared" si="0"/>
        <v>1000000</v>
      </c>
      <c r="Y42" s="142">
        <f t="shared" si="1"/>
        <v>1000000</v>
      </c>
      <c r="Z42" s="142">
        <f t="shared" si="2"/>
        <v>248.8</v>
      </c>
    </row>
    <row r="43" spans="2:26" ht="12.75">
      <c r="B43" s="136">
        <f>DosF2C!$B42</f>
        <v>36</v>
      </c>
      <c r="C43" s="29" t="str">
        <f>DosF2C!C42</f>
        <v>ABDHUL RAMAN N. / NAJIMUDEEN H.</v>
      </c>
      <c r="D43" s="137" t="str">
        <f>DosF2C!D42</f>
        <v>Jun</v>
      </c>
      <c r="E43" s="149" t="str">
        <f>DosF2C!E42</f>
        <v>SIN</v>
      </c>
      <c r="F43" s="138"/>
      <c r="G43" s="137"/>
      <c r="H43" s="362">
        <v>47</v>
      </c>
      <c r="I43" s="138"/>
      <c r="J43" s="137"/>
      <c r="K43" s="363" t="s">
        <v>81</v>
      </c>
      <c r="L43" s="138"/>
      <c r="M43" s="137"/>
      <c r="N43" s="364">
        <v>76</v>
      </c>
      <c r="X43" s="142">
        <f t="shared" si="0"/>
        <v>9953</v>
      </c>
      <c r="Y43" s="142">
        <f t="shared" si="1"/>
        <v>1000000</v>
      </c>
      <c r="Z43" s="142">
        <f t="shared" si="2"/>
        <v>9924</v>
      </c>
    </row>
    <row r="44" spans="2:26" ht="12.75">
      <c r="B44" s="136">
        <f>DosF2C!$B43</f>
        <v>37</v>
      </c>
      <c r="C44" s="29" t="str">
        <f>DosF2C!C43</f>
        <v>ONG R. / SU D.</v>
      </c>
      <c r="D44" s="137">
        <f>DosF2C!D43</f>
        <v>0</v>
      </c>
      <c r="E44" s="149" t="str">
        <f>DosF2C!E43</f>
        <v>SIN</v>
      </c>
      <c r="F44" s="138"/>
      <c r="G44" s="137"/>
      <c r="H44" s="362">
        <v>36</v>
      </c>
      <c r="I44" s="138"/>
      <c r="J44" s="137"/>
      <c r="K44" s="364">
        <v>34</v>
      </c>
      <c r="L44" s="138">
        <v>4</v>
      </c>
      <c r="M44" s="137" t="s">
        <v>80</v>
      </c>
      <c r="N44" s="140">
        <v>5</v>
      </c>
      <c r="X44" s="142">
        <f t="shared" si="0"/>
        <v>9964</v>
      </c>
      <c r="Y44" s="142">
        <f t="shared" si="1"/>
        <v>9966</v>
      </c>
      <c r="Z44" s="142">
        <f t="shared" si="2"/>
        <v>245</v>
      </c>
    </row>
    <row r="45" spans="2:26" ht="12.75">
      <c r="B45" s="136">
        <f>DosF2C!$B44</f>
        <v>38</v>
      </c>
      <c r="C45" s="29" t="str">
        <f>DosF2C!C44</f>
        <v>SATHA S. / WEE C.</v>
      </c>
      <c r="D45" s="137">
        <f>DosF2C!D44</f>
        <v>0</v>
      </c>
      <c r="E45" s="149" t="str">
        <f>DosF2C!E44</f>
        <v>SIN</v>
      </c>
      <c r="F45" s="138"/>
      <c r="G45" s="137"/>
      <c r="H45" s="361" t="s">
        <v>81</v>
      </c>
      <c r="I45" s="138">
        <v>4</v>
      </c>
      <c r="J45" s="137" t="s">
        <v>80</v>
      </c>
      <c r="K45" s="140">
        <v>15.5</v>
      </c>
      <c r="L45" s="138"/>
      <c r="M45" s="137"/>
      <c r="N45" s="363" t="s">
        <v>81</v>
      </c>
      <c r="X45" s="142">
        <f t="shared" si="0"/>
        <v>1000000</v>
      </c>
      <c r="Y45" s="142">
        <f t="shared" si="1"/>
        <v>255.5</v>
      </c>
      <c r="Z45" s="142">
        <f t="shared" si="2"/>
        <v>1000000</v>
      </c>
    </row>
    <row r="46" spans="2:26" ht="12.75">
      <c r="B46" s="136">
        <f>DosF2C!$B45</f>
        <v>39</v>
      </c>
      <c r="C46" s="29" t="str">
        <f>DosF2C!C45</f>
        <v>LOH P. / CHING M. </v>
      </c>
      <c r="D46" s="137">
        <f>DosF2C!D45</f>
        <v>0</v>
      </c>
      <c r="E46" s="149" t="str">
        <f>DosF2C!E45</f>
        <v>SIN</v>
      </c>
      <c r="F46" s="138"/>
      <c r="G46" s="137"/>
      <c r="H46" s="362">
        <v>77</v>
      </c>
      <c r="I46" s="138"/>
      <c r="J46" s="137"/>
      <c r="K46" s="365">
        <v>1</v>
      </c>
      <c r="L46" s="138"/>
      <c r="M46" s="137"/>
      <c r="N46" s="364"/>
      <c r="X46" s="142">
        <f t="shared" si="0"/>
        <v>9923</v>
      </c>
      <c r="Y46" s="142">
        <f t="shared" si="1"/>
        <v>9999</v>
      </c>
      <c r="Z46" s="142">
        <f t="shared" si="2"/>
      </c>
    </row>
    <row r="47" spans="2:26" ht="12.75">
      <c r="B47" s="136">
        <f>DosF2C!$B46</f>
        <v>40</v>
      </c>
      <c r="C47" s="29" t="str">
        <f>DosF2C!C46</f>
        <v>SAMUELSSON B. O. / AXTILIUS K.</v>
      </c>
      <c r="D47" s="137">
        <f>DosF2C!D46</f>
        <v>0</v>
      </c>
      <c r="E47" s="149" t="str">
        <f>DosF2C!E46</f>
        <v>SWE</v>
      </c>
      <c r="F47" s="138"/>
      <c r="G47" s="137"/>
      <c r="H47" s="362">
        <v>33</v>
      </c>
      <c r="I47" s="138">
        <v>3</v>
      </c>
      <c r="J47" s="137" t="s">
        <v>80</v>
      </c>
      <c r="K47" s="140">
        <v>47.2</v>
      </c>
      <c r="L47" s="138">
        <v>4</v>
      </c>
      <c r="M47" s="137" t="s">
        <v>80</v>
      </c>
      <c r="N47" s="140">
        <v>45.1</v>
      </c>
      <c r="X47" s="142">
        <f t="shared" si="0"/>
        <v>9967</v>
      </c>
      <c r="Y47" s="142">
        <f t="shared" si="1"/>
        <v>227.2</v>
      </c>
      <c r="Z47" s="142">
        <f t="shared" si="2"/>
        <v>285.1</v>
      </c>
    </row>
    <row r="48" spans="2:26" ht="12.75">
      <c r="B48" s="136">
        <f>DosF2C!$B47</f>
        <v>41</v>
      </c>
      <c r="C48" s="29" t="str">
        <f>DosF2C!C47</f>
        <v>GUSTAFSSON J. / BJÖHOLM S.</v>
      </c>
      <c r="D48" s="137">
        <f>DosF2C!D47</f>
        <v>0</v>
      </c>
      <c r="E48" s="149" t="str">
        <f>DosF2C!E47</f>
        <v>SWE</v>
      </c>
      <c r="F48" s="138">
        <v>3</v>
      </c>
      <c r="G48" s="137" t="s">
        <v>80</v>
      </c>
      <c r="H48" s="139">
        <v>59.5</v>
      </c>
      <c r="I48" s="138">
        <v>3</v>
      </c>
      <c r="J48" s="137" t="s">
        <v>80</v>
      </c>
      <c r="K48" s="140">
        <v>34.6</v>
      </c>
      <c r="L48" s="138">
        <v>3</v>
      </c>
      <c r="M48" s="137" t="s">
        <v>80</v>
      </c>
      <c r="N48" s="140">
        <v>29.3</v>
      </c>
      <c r="X48" s="142">
        <f t="shared" si="0"/>
        <v>239.5</v>
      </c>
      <c r="Y48" s="142">
        <f t="shared" si="1"/>
        <v>214.6</v>
      </c>
      <c r="Z48" s="142">
        <f t="shared" si="2"/>
        <v>209.3</v>
      </c>
    </row>
    <row r="49" spans="2:26" ht="12.75">
      <c r="B49" s="136">
        <f>DosF2C!$B48</f>
        <v>42</v>
      </c>
      <c r="C49" s="29" t="str">
        <f>DosF2C!C48</f>
        <v>BORER H. / SACCAVINO C.</v>
      </c>
      <c r="D49" s="137">
        <f>DosF2C!D48</f>
        <v>0</v>
      </c>
      <c r="E49" s="149" t="str">
        <f>DosF2C!E48</f>
        <v>SUI</v>
      </c>
      <c r="F49" s="138"/>
      <c r="G49" s="137"/>
      <c r="H49" s="361" t="s">
        <v>81</v>
      </c>
      <c r="I49" s="138">
        <v>3</v>
      </c>
      <c r="J49" s="137" t="s">
        <v>80</v>
      </c>
      <c r="K49" s="140">
        <v>27.7</v>
      </c>
      <c r="L49" s="138"/>
      <c r="M49" s="137"/>
      <c r="N49" s="364">
        <v>22</v>
      </c>
      <c r="X49" s="142">
        <f t="shared" si="0"/>
        <v>1000000</v>
      </c>
      <c r="Y49" s="142">
        <f t="shared" si="1"/>
        <v>207.7</v>
      </c>
      <c r="Z49" s="142">
        <f t="shared" si="2"/>
        <v>9978</v>
      </c>
    </row>
    <row r="50" spans="2:26" ht="12.75">
      <c r="B50" s="136">
        <f>DosF2C!$B49</f>
        <v>43</v>
      </c>
      <c r="C50" s="29" t="str">
        <f>DosF2C!C49</f>
        <v>MUELLER R. / SACCAVINO V.</v>
      </c>
      <c r="D50" s="137">
        <f>DosF2C!D49</f>
        <v>0</v>
      </c>
      <c r="E50" s="149" t="str">
        <f>DosF2C!E49</f>
        <v>SUI</v>
      </c>
      <c r="F50" s="138">
        <v>3</v>
      </c>
      <c r="G50" s="137" t="s">
        <v>80</v>
      </c>
      <c r="H50" s="139">
        <v>29.7</v>
      </c>
      <c r="I50" s="138"/>
      <c r="J50" s="137"/>
      <c r="K50" s="363" t="s">
        <v>81</v>
      </c>
      <c r="L50" s="138"/>
      <c r="M50" s="137"/>
      <c r="N50" s="364">
        <v>36</v>
      </c>
      <c r="X50" s="142">
        <f t="shared" si="0"/>
        <v>209.7</v>
      </c>
      <c r="Y50" s="142">
        <f t="shared" si="1"/>
        <v>1000000</v>
      </c>
      <c r="Z50" s="142">
        <f t="shared" si="2"/>
        <v>9964</v>
      </c>
    </row>
    <row r="51" spans="2:26" ht="12.75">
      <c r="B51" s="136">
        <f>DosF2C!$B50</f>
        <v>44</v>
      </c>
      <c r="C51" s="29" t="str">
        <f>DosF2C!C50</f>
        <v>GIGER P. / STUDER H.</v>
      </c>
      <c r="D51" s="137">
        <f>DosF2C!D50</f>
        <v>0</v>
      </c>
      <c r="E51" s="149" t="str">
        <f>DosF2C!E50</f>
        <v>SUI</v>
      </c>
      <c r="F51" s="138"/>
      <c r="G51" s="137"/>
      <c r="H51" s="361" t="s">
        <v>81</v>
      </c>
      <c r="I51" s="138">
        <v>3</v>
      </c>
      <c r="J51" s="137" t="s">
        <v>80</v>
      </c>
      <c r="K51" s="140">
        <v>45.4</v>
      </c>
      <c r="L51" s="138">
        <v>3</v>
      </c>
      <c r="M51" s="137" t="s">
        <v>80</v>
      </c>
      <c r="N51" s="140">
        <v>56.8</v>
      </c>
      <c r="X51" s="142">
        <f t="shared" si="0"/>
        <v>1000000</v>
      </c>
      <c r="Y51" s="142">
        <f t="shared" si="1"/>
        <v>225.4</v>
      </c>
      <c r="Z51" s="142">
        <f t="shared" si="2"/>
        <v>236.8</v>
      </c>
    </row>
    <row r="52" spans="2:26" ht="12.75">
      <c r="B52" s="136">
        <f>DosF2C!$B51</f>
        <v>45</v>
      </c>
      <c r="C52" s="29" t="str">
        <f>DosF2C!C51</f>
        <v>BONDARENKO Y. / LERNER S.</v>
      </c>
      <c r="D52" s="137">
        <f>DosF2C!D51</f>
        <v>0</v>
      </c>
      <c r="E52" s="149" t="str">
        <f>DosF2C!E51</f>
        <v>UKR</v>
      </c>
      <c r="F52" s="138">
        <v>3</v>
      </c>
      <c r="G52" s="137" t="s">
        <v>80</v>
      </c>
      <c r="H52" s="139">
        <v>21.7</v>
      </c>
      <c r="I52" s="138">
        <v>3</v>
      </c>
      <c r="J52" s="137" t="s">
        <v>80</v>
      </c>
      <c r="K52" s="140">
        <v>16.7</v>
      </c>
      <c r="L52" s="138"/>
      <c r="M52" s="137"/>
      <c r="N52" s="363" t="s">
        <v>81</v>
      </c>
      <c r="X52" s="142">
        <f t="shared" si="0"/>
        <v>201.7</v>
      </c>
      <c r="Y52" s="142">
        <f t="shared" si="1"/>
        <v>196.7</v>
      </c>
      <c r="Z52" s="142">
        <f t="shared" si="2"/>
        <v>1000000</v>
      </c>
    </row>
    <row r="53" spans="2:26" ht="12.75">
      <c r="B53" s="136">
        <f>DosF2C!$B52</f>
        <v>46</v>
      </c>
      <c r="C53" s="29" t="str">
        <f>DosF2C!C52</f>
        <v>BEZMERTNY Y. / FULITKA V.</v>
      </c>
      <c r="D53" s="137">
        <f>DosF2C!D52</f>
        <v>0</v>
      </c>
      <c r="E53" s="149" t="str">
        <f>DosF2C!E52</f>
        <v>UKR</v>
      </c>
      <c r="F53" s="138">
        <v>3</v>
      </c>
      <c r="G53" s="137" t="s">
        <v>80</v>
      </c>
      <c r="H53" s="139">
        <v>24.7</v>
      </c>
      <c r="I53" s="138">
        <v>3</v>
      </c>
      <c r="J53" s="137" t="s">
        <v>80</v>
      </c>
      <c r="K53" s="140">
        <v>29.7</v>
      </c>
      <c r="L53" s="138"/>
      <c r="M53" s="137"/>
      <c r="N53" s="363" t="s">
        <v>81</v>
      </c>
      <c r="X53" s="142">
        <f t="shared" si="0"/>
        <v>204.7</v>
      </c>
      <c r="Y53" s="142">
        <f t="shared" si="1"/>
        <v>209.7</v>
      </c>
      <c r="Z53" s="142">
        <f t="shared" si="2"/>
        <v>1000000</v>
      </c>
    </row>
    <row r="54" spans="2:26" ht="12.75">
      <c r="B54" s="136">
        <f>DosF2C!$B53</f>
        <v>47</v>
      </c>
      <c r="C54" s="29" t="str">
        <f>DosF2C!C53</f>
        <v>ZHURAVLYOV V. / SOSNOVSKIY V.</v>
      </c>
      <c r="D54" s="137">
        <f>DosF2C!D53</f>
        <v>0</v>
      </c>
      <c r="E54" s="149" t="str">
        <f>DosF2C!E53</f>
        <v>UKR</v>
      </c>
      <c r="F54" s="138"/>
      <c r="G54" s="137"/>
      <c r="H54" s="361" t="s">
        <v>81</v>
      </c>
      <c r="I54" s="138">
        <v>3</v>
      </c>
      <c r="J54" s="137" t="s">
        <v>80</v>
      </c>
      <c r="K54" s="140">
        <v>21.7</v>
      </c>
      <c r="L54" s="138">
        <v>3</v>
      </c>
      <c r="M54" s="137" t="s">
        <v>80</v>
      </c>
      <c r="N54" s="140">
        <v>38.9</v>
      </c>
      <c r="X54" s="142">
        <f t="shared" si="0"/>
        <v>1000000</v>
      </c>
      <c r="Y54" s="142">
        <f t="shared" si="1"/>
        <v>201.7</v>
      </c>
      <c r="Z54" s="142">
        <f t="shared" si="2"/>
        <v>218.9</v>
      </c>
    </row>
    <row r="55" spans="2:26" ht="12.75">
      <c r="B55" s="136">
        <f>DosF2C!$B55</f>
        <v>49</v>
      </c>
      <c r="C55" s="29" t="str">
        <f>DosF2C!C55</f>
        <v>ASCHER A. / ASCHER L.</v>
      </c>
      <c r="D55" s="137">
        <f>DosF2C!D55</f>
        <v>0</v>
      </c>
      <c r="E55" s="149" t="str">
        <f>DosF2C!E55</f>
        <v>USA</v>
      </c>
      <c r="F55" s="138">
        <v>3</v>
      </c>
      <c r="G55" s="137" t="s">
        <v>80</v>
      </c>
      <c r="H55" s="139">
        <v>31.5</v>
      </c>
      <c r="I55" s="138">
        <v>3</v>
      </c>
      <c r="J55" s="137" t="s">
        <v>80</v>
      </c>
      <c r="K55" s="140">
        <v>24.7</v>
      </c>
      <c r="L55" s="138">
        <v>3</v>
      </c>
      <c r="M55" s="137" t="s">
        <v>80</v>
      </c>
      <c r="N55" s="140">
        <v>29.6</v>
      </c>
      <c r="X55" s="142">
        <f t="shared" si="0"/>
        <v>211.5</v>
      </c>
      <c r="Y55" s="142">
        <f t="shared" si="1"/>
        <v>204.7</v>
      </c>
      <c r="Z55" s="142">
        <f t="shared" si="2"/>
        <v>209.6</v>
      </c>
    </row>
    <row r="56" spans="2:26" ht="12.75">
      <c r="B56" s="136">
        <f>DosF2C!$B56</f>
        <v>50</v>
      </c>
      <c r="C56" s="29" t="str">
        <f>DosF2C!C56</f>
        <v>BALLARD J. / LAMBERT D.</v>
      </c>
      <c r="D56" s="137">
        <f>DosF2C!D56</f>
        <v>0</v>
      </c>
      <c r="E56" s="149" t="str">
        <f>DosF2C!E56</f>
        <v>USA</v>
      </c>
      <c r="F56" s="138"/>
      <c r="G56" s="137"/>
      <c r="H56" s="361" t="s">
        <v>81</v>
      </c>
      <c r="I56" s="138"/>
      <c r="J56" s="137" t="s">
        <v>80</v>
      </c>
      <c r="K56" s="140">
        <v>0</v>
      </c>
      <c r="L56" s="138"/>
      <c r="M56" s="137"/>
      <c r="N56" s="140">
        <v>0</v>
      </c>
      <c r="X56" s="142">
        <f t="shared" si="0"/>
        <v>1000000</v>
      </c>
      <c r="Y56" s="142">
        <f t="shared" si="1"/>
        <v>10000</v>
      </c>
      <c r="Z56" s="142">
        <f t="shared" si="2"/>
        <v>10000</v>
      </c>
    </row>
    <row r="57" spans="2:26" ht="12.75">
      <c r="B57" s="136">
        <f>DosF2C!$B57</f>
        <v>51</v>
      </c>
      <c r="C57" s="29" t="str">
        <f>DosF2C!C57</f>
        <v>WILLOUGHBY S. / OGE B.</v>
      </c>
      <c r="D57" s="137">
        <f>DosF2C!D57</f>
        <v>0</v>
      </c>
      <c r="E57" s="149" t="str">
        <f>DosF2C!E57</f>
        <v>USA</v>
      </c>
      <c r="F57" s="138">
        <v>4</v>
      </c>
      <c r="G57" s="137" t="s">
        <v>80</v>
      </c>
      <c r="H57" s="139">
        <v>30.4</v>
      </c>
      <c r="I57" s="138"/>
      <c r="J57" s="137"/>
      <c r="K57" s="364">
        <v>35</v>
      </c>
      <c r="L57" s="138">
        <v>4</v>
      </c>
      <c r="M57" s="137" t="s">
        <v>80</v>
      </c>
      <c r="N57" s="140">
        <v>9.8</v>
      </c>
      <c r="X57" s="142">
        <f t="shared" si="0"/>
        <v>270.4</v>
      </c>
      <c r="Y57" s="142">
        <f t="shared" si="1"/>
        <v>9965</v>
      </c>
      <c r="Z57" s="142">
        <f t="shared" si="2"/>
        <v>249.8</v>
      </c>
    </row>
    <row r="58" spans="2:26" ht="12.75" hidden="1">
      <c r="B58" s="232"/>
      <c r="C58" s="233"/>
      <c r="D58" s="234"/>
      <c r="E58" s="235"/>
      <c r="F58" s="236"/>
      <c r="G58" s="234"/>
      <c r="H58" s="231"/>
      <c r="I58" s="236"/>
      <c r="J58" s="234"/>
      <c r="K58" s="237"/>
      <c r="L58" s="236"/>
      <c r="M58" s="234"/>
      <c r="N58" s="237"/>
      <c r="X58" s="142"/>
      <c r="Y58" s="142"/>
      <c r="Z58" s="142"/>
    </row>
    <row r="59" spans="2:14" ht="12.75">
      <c r="B59" s="144"/>
      <c r="C59" s="4"/>
      <c r="D59" s="145"/>
      <c r="E59" s="143"/>
      <c r="F59" s="117"/>
      <c r="G59" s="118"/>
      <c r="H59" s="146"/>
      <c r="I59" s="117"/>
      <c r="J59" s="118"/>
      <c r="K59" s="146"/>
      <c r="L59" s="117"/>
      <c r="M59" s="118"/>
      <c r="N59" s="146"/>
    </row>
  </sheetData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9"/>
  <sheetViews>
    <sheetView workbookViewId="0" topLeftCell="I1">
      <selection activeCell="P9" sqref="P9"/>
    </sheetView>
  </sheetViews>
  <sheetFormatPr defaultColWidth="9.140625" defaultRowHeight="12.75"/>
  <cols>
    <col min="1" max="1" width="5.28125" style="0" customWidth="1"/>
    <col min="2" max="2" width="4.8515625" style="22" customWidth="1"/>
    <col min="3" max="3" width="33.140625" style="1" customWidth="1"/>
    <col min="4" max="4" width="5.140625" style="90" customWidth="1"/>
    <col min="5" max="5" width="7.57421875" style="2" customWidth="1"/>
    <col min="6" max="6" width="2.7109375" style="91" customWidth="1"/>
    <col min="7" max="7" width="1.7109375" style="92" customWidth="1"/>
    <col min="8" max="8" width="6.7109375" style="93" customWidth="1"/>
    <col min="9" max="9" width="2.7109375" style="91" customWidth="1"/>
    <col min="10" max="10" width="1.7109375" style="92" customWidth="1"/>
    <col min="11" max="11" width="6.7109375" style="93" customWidth="1"/>
    <col min="12" max="12" width="2.7109375" style="91" customWidth="1"/>
    <col min="13" max="13" width="1.7109375" style="92" customWidth="1"/>
    <col min="14" max="14" width="6.7109375" style="93" customWidth="1"/>
    <col min="15" max="15" width="1.7109375" style="239" customWidth="1"/>
    <col min="16" max="16" width="2.7109375" style="254" customWidth="1"/>
    <col min="17" max="17" width="1.7109375" style="244" customWidth="1"/>
    <col min="18" max="18" width="6.7109375" style="245" customWidth="1"/>
    <col min="19" max="23" width="2.7109375" style="0" customWidth="1"/>
    <col min="24" max="27" width="10.7109375" style="147" customWidth="1"/>
    <col min="28" max="28" width="11.421875" style="147" customWidth="1"/>
    <col min="29" max="29" width="15.140625" style="148" customWidth="1"/>
    <col min="30" max="30" width="7.421875" style="0" customWidth="1"/>
    <col min="31" max="16384" width="11.421875" style="0" customWidth="1"/>
  </cols>
  <sheetData>
    <row r="1" spans="24:29" ht="3" customHeight="1">
      <c r="X1" s="95"/>
      <c r="Y1" s="95"/>
      <c r="Z1" s="95"/>
      <c r="AA1" s="95"/>
      <c r="AB1" s="95"/>
      <c r="AC1" s="96"/>
    </row>
    <row r="2" spans="3:29" ht="13.5">
      <c r="C2" s="37" t="s">
        <v>82</v>
      </c>
      <c r="E2"/>
      <c r="F2"/>
      <c r="G2"/>
      <c r="H2"/>
      <c r="I2"/>
      <c r="J2"/>
      <c r="O2" s="240"/>
      <c r="X2" s="95"/>
      <c r="Y2" s="95"/>
      <c r="Z2" s="95"/>
      <c r="AA2" s="95"/>
      <c r="AB2" s="95"/>
      <c r="AC2" s="96"/>
    </row>
    <row r="3" spans="5:29" ht="6" customHeight="1">
      <c r="E3" s="3"/>
      <c r="K3" s="103"/>
      <c r="O3" s="240"/>
      <c r="X3"/>
      <c r="Y3"/>
      <c r="Z3"/>
      <c r="AA3"/>
      <c r="AB3"/>
      <c r="AC3"/>
    </row>
    <row r="4" spans="2:29" ht="12.75">
      <c r="B4" s="35"/>
      <c r="C4" s="104" t="s">
        <v>83</v>
      </c>
      <c r="E4" s="89"/>
      <c r="G4" s="21"/>
      <c r="H4" s="105"/>
      <c r="J4" s="21"/>
      <c r="K4" s="105"/>
      <c r="M4" s="21"/>
      <c r="N4" s="105"/>
      <c r="O4" s="240"/>
      <c r="Q4" s="246"/>
      <c r="R4" s="247"/>
      <c r="X4"/>
      <c r="Y4"/>
      <c r="Z4"/>
      <c r="AA4"/>
      <c r="AB4"/>
      <c r="AC4"/>
    </row>
    <row r="5" spans="5:29" ht="6" customHeight="1">
      <c r="E5" s="3"/>
      <c r="F5" s="106"/>
      <c r="G5" s="107"/>
      <c r="H5" s="108"/>
      <c r="X5" s="109"/>
      <c r="Y5" s="109"/>
      <c r="Z5" s="109"/>
      <c r="AA5" s="109"/>
      <c r="AB5" s="109"/>
      <c r="AC5"/>
    </row>
    <row r="6" spans="1:29" ht="3" customHeight="1">
      <c r="A6" s="226"/>
      <c r="B6" s="225"/>
      <c r="C6" s="112"/>
      <c r="D6" s="113"/>
      <c r="E6" s="113"/>
      <c r="F6" s="114"/>
      <c r="G6" s="115"/>
      <c r="H6" s="116"/>
      <c r="I6" s="117"/>
      <c r="J6" s="118"/>
      <c r="K6" s="119"/>
      <c r="L6" s="117"/>
      <c r="M6" s="118"/>
      <c r="N6" s="119"/>
      <c r="O6" s="241"/>
      <c r="P6" s="255"/>
      <c r="Q6" s="248"/>
      <c r="R6" s="249"/>
      <c r="X6" s="109"/>
      <c r="Y6" s="109"/>
      <c r="Z6" s="109"/>
      <c r="AA6" s="109"/>
      <c r="AB6" s="109"/>
      <c r="AC6"/>
    </row>
    <row r="7" spans="1:31" ht="13.5">
      <c r="A7" s="227" t="s">
        <v>84</v>
      </c>
      <c r="B7" s="25" t="s">
        <v>4</v>
      </c>
      <c r="C7" s="6" t="s">
        <v>5</v>
      </c>
      <c r="D7" s="123"/>
      <c r="E7" s="7" t="s">
        <v>3</v>
      </c>
      <c r="F7" s="124"/>
      <c r="G7" s="125" t="s">
        <v>77</v>
      </c>
      <c r="H7" s="126"/>
      <c r="I7" s="127"/>
      <c r="J7" s="125" t="s">
        <v>78</v>
      </c>
      <c r="K7" s="126"/>
      <c r="L7" s="127"/>
      <c r="M7" s="125" t="s">
        <v>79</v>
      </c>
      <c r="N7" s="126"/>
      <c r="O7" s="241"/>
      <c r="P7" s="256"/>
      <c r="Q7" s="125" t="s">
        <v>85</v>
      </c>
      <c r="R7" s="126"/>
      <c r="X7" s="109" t="s">
        <v>77</v>
      </c>
      <c r="Y7" s="109" t="s">
        <v>78</v>
      </c>
      <c r="Z7" s="109" t="s">
        <v>79</v>
      </c>
      <c r="AA7" s="109" t="s">
        <v>86</v>
      </c>
      <c r="AB7" s="109" t="s">
        <v>87</v>
      </c>
      <c r="AC7" t="s">
        <v>88</v>
      </c>
      <c r="AD7" t="s">
        <v>89</v>
      </c>
      <c r="AE7" t="s">
        <v>90</v>
      </c>
    </row>
    <row r="8" spans="1:29" ht="3" customHeight="1">
      <c r="A8" s="228"/>
      <c r="B8" s="27"/>
      <c r="C8" s="131"/>
      <c r="D8" s="20"/>
      <c r="E8" s="20"/>
      <c r="F8" s="132"/>
      <c r="G8" s="133"/>
      <c r="H8" s="134"/>
      <c r="I8" s="135"/>
      <c r="J8" s="133"/>
      <c r="K8" s="134"/>
      <c r="L8" s="135"/>
      <c r="M8" s="133"/>
      <c r="N8" s="134"/>
      <c r="O8" s="242"/>
      <c r="P8" s="258"/>
      <c r="Q8" s="250"/>
      <c r="R8" s="251"/>
      <c r="X8" s="109"/>
      <c r="Y8" s="109"/>
      <c r="Z8" s="109"/>
      <c r="AA8" s="109"/>
      <c r="AB8" s="109"/>
      <c r="AC8"/>
    </row>
    <row r="9" spans="1:31" ht="13.5">
      <c r="A9" s="366">
        <f aca="true" t="shared" si="0" ref="A9:A39">ROW(A9)-ROW(A$8)</f>
        <v>1</v>
      </c>
      <c r="B9" s="136">
        <f>TempsF2Ce!$B21</f>
        <v>13</v>
      </c>
      <c r="C9" s="29" t="str">
        <f>TempsF2Ce!$C21</f>
        <v>MARET J. / PERRET J.P.</v>
      </c>
      <c r="D9" s="137">
        <f>TempsF2Ce!$D21</f>
        <v>0</v>
      </c>
      <c r="E9" s="149" t="str">
        <f>TempsF2Ce!$E21</f>
        <v>FRA</v>
      </c>
      <c r="F9" s="343"/>
      <c r="G9" s="327"/>
      <c r="H9" s="364">
        <f aca="true" t="shared" si="1" ref="H9:H57">IF($X9="","",IF($X9=1000000,"DISQ",IF($X9&gt;9000,10000-$X9,$X9-INT($X9/60)*60)))</f>
        <v>69</v>
      </c>
      <c r="I9" s="343">
        <f aca="true" t="shared" si="2" ref="I9:I57">IF($Y9="","",IF($Y9=1000000,"",IF($Y9=10000,0,IF($Y9&gt;9000,"",INT($Y9/60)))))</f>
        <v>3</v>
      </c>
      <c r="J9" s="327" t="str">
        <f aca="true" t="shared" si="3" ref="J9:J57">IF($Y9="","",IF($Y9=1000000,"",IF($Y9=10000,":",IF($Y9&gt;9000,"",":"))))</f>
        <v>:</v>
      </c>
      <c r="K9" s="140">
        <f aca="true" t="shared" si="4" ref="K9:K57">IF($Y9="","",IF($Y9=1000000,"DISQ",IF($Y9&gt;9000,10000-$Y9,$Y9-INT($Y9/60)*60)))</f>
        <v>27.69999999999999</v>
      </c>
      <c r="L9" s="257">
        <f aca="true" t="shared" si="5" ref="L9:L52">IF($Z9="","",IF($Z9=1000000,"",IF($Z9=10000,0,IF($Z9&gt;9000,"",INT($Z9/60)))))</f>
        <v>3</v>
      </c>
      <c r="M9" s="262" t="str">
        <f aca="true" t="shared" si="6" ref="M9:M52">IF($Z9="","",IF($Z9=1000000,"",IF($Z9=10000,":",IF($Z9&gt;9000,"",":"))))</f>
        <v>:</v>
      </c>
      <c r="N9" s="252">
        <f aca="true" t="shared" si="7" ref="N9:N57">IF($Z9="","",IF($Z9=1000000,"DISQ",IF($Z9&gt;9000,10000-$Z9,$Z9-INT($Z9/60)*60)))</f>
        <v>12.199999999999989</v>
      </c>
      <c r="O9" s="243"/>
      <c r="P9" s="257">
        <f aca="true" t="shared" si="8" ref="P9:P57">IF($AA9=1000000,"",IF($AA9=10000,0,IF($AA9&gt;9000,"",INT($AA9/60))))</f>
        <v>3</v>
      </c>
      <c r="Q9" s="262" t="str">
        <f aca="true" t="shared" si="9" ref="Q9:Q57">IF($AA9=1000000,"",IF($AA9=10000,":",IF($AA9&gt;9000,"",":")))</f>
        <v>:</v>
      </c>
      <c r="R9" s="252">
        <f aca="true" t="shared" si="10" ref="R9:R57">IF($AA9=1000000,"DISQ",IF($AA9&gt;9000,10000-$AA9,$AA9-INT($AA9/60)*60))</f>
        <v>12.199999999999989</v>
      </c>
      <c r="X9" s="142">
        <f>TempsF2Ce!X21</f>
        <v>9931</v>
      </c>
      <c r="Y9" s="142">
        <f>TempsF2Ce!Y21</f>
        <v>207.7</v>
      </c>
      <c r="Z9" s="142">
        <f>TempsF2Ce!Z21</f>
        <v>192.2</v>
      </c>
      <c r="AA9" s="142">
        <f aca="true" t="shared" si="11" ref="AA9:AA57">MIN(X9:Z9)</f>
        <v>192.2</v>
      </c>
      <c r="AB9" s="142">
        <f aca="true" t="shared" si="12" ref="AB9:AB57">SUM(X9:Z9)-MAX(X9:Z9)-MIN(X9:Z9)</f>
        <v>207.70000000000147</v>
      </c>
      <c r="AC9" s="142">
        <f aca="true" t="shared" si="13" ref="AC9:AC57">MAX(X9:Z9)</f>
        <v>9931</v>
      </c>
      <c r="AD9" s="91">
        <f aca="true" t="shared" si="14" ref="AD9:AD57">MIN(X9,Y9)</f>
        <v>207.7</v>
      </c>
      <c r="AE9" s="91">
        <f aca="true" t="shared" si="15" ref="AE9:AE57">MAX(X9,Y9)</f>
        <v>9931</v>
      </c>
    </row>
    <row r="10" spans="1:31" ht="13.5">
      <c r="A10" s="366">
        <f t="shared" si="0"/>
        <v>2</v>
      </c>
      <c r="B10" s="136">
        <f>TempsF2Ce!$B39</f>
        <v>32</v>
      </c>
      <c r="C10" s="29" t="str">
        <f>TempsF2Ce!$C39</f>
        <v>CHABACHOV J. / MOSKALEEV S.</v>
      </c>
      <c r="D10" s="137">
        <f>TempsF2Ce!$D39</f>
        <v>0</v>
      </c>
      <c r="E10" s="149" t="str">
        <f>TempsF2Ce!$E39</f>
        <v>RUS</v>
      </c>
      <c r="F10" s="343">
        <f aca="true" t="shared" si="16" ref="F10:F52">IF($X10="","",IF($X10=1000000,"",IF($X10=10000,0,IF($X10&gt;9000,"",INT($X10/60)))))</f>
        <v>3</v>
      </c>
      <c r="G10" s="327" t="str">
        <f aca="true" t="shared" si="17" ref="G10:G52">IF($X10="","",IF($X10=1000000,"",IF($X10=10000,":",IF($X10&gt;9000,"",":"))))</f>
        <v>:</v>
      </c>
      <c r="H10" s="140">
        <f t="shared" si="1"/>
        <v>30.599999999999994</v>
      </c>
      <c r="I10" s="343">
        <f t="shared" si="2"/>
        <v>3</v>
      </c>
      <c r="J10" s="327" t="str">
        <f t="shared" si="3"/>
        <v>:</v>
      </c>
      <c r="K10" s="140">
        <f t="shared" si="4"/>
        <v>24.400000000000006</v>
      </c>
      <c r="L10" s="257">
        <f t="shared" si="5"/>
        <v>3</v>
      </c>
      <c r="M10" s="262" t="str">
        <f t="shared" si="6"/>
        <v>:</v>
      </c>
      <c r="N10" s="252">
        <f t="shared" si="7"/>
        <v>12.900000000000006</v>
      </c>
      <c r="O10" s="243"/>
      <c r="P10" s="257">
        <f t="shared" si="8"/>
        <v>3</v>
      </c>
      <c r="Q10" s="263" t="str">
        <f t="shared" si="9"/>
        <v>:</v>
      </c>
      <c r="R10" s="252">
        <f t="shared" si="10"/>
        <v>12.900000000000006</v>
      </c>
      <c r="X10" s="142">
        <f>TempsF2Ce!X39</f>
        <v>210.6</v>
      </c>
      <c r="Y10" s="142">
        <f>TempsF2Ce!Y39</f>
        <v>204.4</v>
      </c>
      <c r="Z10" s="142">
        <f>TempsF2Ce!Z39</f>
        <v>192.9</v>
      </c>
      <c r="AA10" s="142">
        <f t="shared" si="11"/>
        <v>192.9</v>
      </c>
      <c r="AB10" s="142">
        <f t="shared" si="12"/>
        <v>204.39999999999995</v>
      </c>
      <c r="AC10" s="142">
        <f t="shared" si="13"/>
        <v>210.6</v>
      </c>
      <c r="AD10" s="91">
        <f t="shared" si="14"/>
        <v>204.4</v>
      </c>
      <c r="AE10" s="91">
        <f t="shared" si="15"/>
        <v>210.6</v>
      </c>
    </row>
    <row r="11" spans="1:31" ht="13.5">
      <c r="A11" s="366">
        <f t="shared" si="0"/>
        <v>3</v>
      </c>
      <c r="B11" s="136">
        <f>TempsF2Ce!$B32</f>
        <v>24</v>
      </c>
      <c r="C11" s="29" t="str">
        <f>TempsF2Ce!$C32</f>
        <v>PENNISI R. / ROSSI A.</v>
      </c>
      <c r="D11" s="137">
        <f>TempsF2Ce!$D32</f>
        <v>0</v>
      </c>
      <c r="E11" s="149" t="str">
        <f>TempsF2Ce!$E32</f>
        <v>ITA</v>
      </c>
      <c r="F11" s="257">
        <f t="shared" si="16"/>
        <v>3</v>
      </c>
      <c r="G11" s="262" t="str">
        <f t="shared" si="17"/>
        <v>:</v>
      </c>
      <c r="H11" s="252">
        <f t="shared" si="1"/>
        <v>15</v>
      </c>
      <c r="I11" s="343">
        <f t="shared" si="2"/>
        <v>3</v>
      </c>
      <c r="J11" s="327" t="str">
        <f t="shared" si="3"/>
        <v>:</v>
      </c>
      <c r="K11" s="140">
        <f t="shared" si="4"/>
        <v>34.400000000000006</v>
      </c>
      <c r="L11" s="343"/>
      <c r="M11" s="327"/>
      <c r="N11" s="363" t="str">
        <f t="shared" si="7"/>
        <v>DISQ</v>
      </c>
      <c r="O11" s="243"/>
      <c r="P11" s="257">
        <f t="shared" si="8"/>
        <v>3</v>
      </c>
      <c r="Q11" s="263" t="str">
        <f t="shared" si="9"/>
        <v>:</v>
      </c>
      <c r="R11" s="252">
        <f t="shared" si="10"/>
        <v>15</v>
      </c>
      <c r="X11" s="142">
        <f>TempsF2Ce!X32</f>
        <v>195</v>
      </c>
      <c r="Y11" s="142">
        <f>TempsF2Ce!Y32</f>
        <v>214.4</v>
      </c>
      <c r="Z11" s="142">
        <f>TempsF2Ce!Z32</f>
        <v>1000000</v>
      </c>
      <c r="AA11" s="142">
        <f t="shared" si="11"/>
        <v>195</v>
      </c>
      <c r="AB11" s="142">
        <f t="shared" si="12"/>
        <v>214.40000000002328</v>
      </c>
      <c r="AC11" s="142">
        <f t="shared" si="13"/>
        <v>1000000</v>
      </c>
      <c r="AD11" s="91">
        <f t="shared" si="14"/>
        <v>195</v>
      </c>
      <c r="AE11" s="91">
        <f t="shared" si="15"/>
        <v>214.4</v>
      </c>
    </row>
    <row r="12" spans="1:31" ht="13.5">
      <c r="A12" s="366">
        <f t="shared" si="0"/>
        <v>4</v>
      </c>
      <c r="B12" s="136">
        <f>TempsF2Ce!$B52</f>
        <v>45</v>
      </c>
      <c r="C12" s="29" t="str">
        <f>TempsF2Ce!$C52</f>
        <v>BONDARENKO Y. / LERNER S.</v>
      </c>
      <c r="D12" s="137">
        <f>TempsF2Ce!$D52</f>
        <v>0</v>
      </c>
      <c r="E12" s="149" t="str">
        <f>TempsF2Ce!$E52</f>
        <v>UKR</v>
      </c>
      <c r="F12" s="343">
        <f t="shared" si="16"/>
        <v>3</v>
      </c>
      <c r="G12" s="327" t="str">
        <f t="shared" si="17"/>
        <v>:</v>
      </c>
      <c r="H12" s="140">
        <f t="shared" si="1"/>
        <v>21.69999999999999</v>
      </c>
      <c r="I12" s="257">
        <f t="shared" si="2"/>
        <v>3</v>
      </c>
      <c r="J12" s="262" t="str">
        <f t="shared" si="3"/>
        <v>:</v>
      </c>
      <c r="K12" s="252">
        <f t="shared" si="4"/>
        <v>16.69999999999999</v>
      </c>
      <c r="L12" s="343"/>
      <c r="M12" s="327"/>
      <c r="N12" s="363" t="str">
        <f t="shared" si="7"/>
        <v>DISQ</v>
      </c>
      <c r="O12" s="243"/>
      <c r="P12" s="257">
        <f t="shared" si="8"/>
        <v>3</v>
      </c>
      <c r="Q12" s="263" t="str">
        <f t="shared" si="9"/>
        <v>:</v>
      </c>
      <c r="R12" s="252">
        <f t="shared" si="10"/>
        <v>16.69999999999999</v>
      </c>
      <c r="X12" s="142">
        <f>TempsF2Ce!X52</f>
        <v>201.7</v>
      </c>
      <c r="Y12" s="142">
        <f>TempsF2Ce!Y52</f>
        <v>196.7</v>
      </c>
      <c r="Z12" s="142">
        <f>TempsF2Ce!Z52</f>
        <v>1000000</v>
      </c>
      <c r="AA12" s="142">
        <f t="shared" si="11"/>
        <v>196.7</v>
      </c>
      <c r="AB12" s="142">
        <f t="shared" si="12"/>
        <v>201.7000000000233</v>
      </c>
      <c r="AC12" s="142">
        <f t="shared" si="13"/>
        <v>1000000</v>
      </c>
      <c r="AD12" s="91">
        <f t="shared" si="14"/>
        <v>196.7</v>
      </c>
      <c r="AE12" s="91">
        <f t="shared" si="15"/>
        <v>201.7</v>
      </c>
    </row>
    <row r="13" spans="1:31" ht="13.5">
      <c r="A13" s="366">
        <f t="shared" si="0"/>
        <v>5</v>
      </c>
      <c r="B13" s="136">
        <f>TempsF2Ce!$B13</f>
        <v>5</v>
      </c>
      <c r="C13" s="29" t="str">
        <f>TempsF2Ce!$C13</f>
        <v>FISCHER J. / STRANIAK H.</v>
      </c>
      <c r="D13" s="137">
        <f>TempsF2Ce!$D13</f>
        <v>0</v>
      </c>
      <c r="E13" s="149" t="str">
        <f>TempsF2Ce!$E13</f>
        <v>AUT</v>
      </c>
      <c r="F13" s="343">
        <f t="shared" si="16"/>
        <v>3</v>
      </c>
      <c r="G13" s="327" t="str">
        <f t="shared" si="17"/>
        <v>:</v>
      </c>
      <c r="H13" s="140">
        <f t="shared" si="1"/>
        <v>24.599999999999994</v>
      </c>
      <c r="I13" s="343"/>
      <c r="J13" s="327"/>
      <c r="K13" s="364">
        <f t="shared" si="4"/>
        <v>33</v>
      </c>
      <c r="L13" s="257">
        <f t="shared" si="5"/>
        <v>3</v>
      </c>
      <c r="M13" s="262" t="str">
        <f t="shared" si="6"/>
        <v>:</v>
      </c>
      <c r="N13" s="252">
        <f t="shared" si="7"/>
        <v>17</v>
      </c>
      <c r="O13" s="243"/>
      <c r="P13" s="257">
        <f t="shared" si="8"/>
        <v>3</v>
      </c>
      <c r="Q13" s="263" t="str">
        <f t="shared" si="9"/>
        <v>:</v>
      </c>
      <c r="R13" s="252">
        <f t="shared" si="10"/>
        <v>17</v>
      </c>
      <c r="X13" s="142">
        <f>TempsF2Ce!X13</f>
        <v>204.6</v>
      </c>
      <c r="Y13" s="142">
        <f>TempsF2Ce!Y13</f>
        <v>9967</v>
      </c>
      <c r="Z13" s="142">
        <f>TempsF2Ce!Z13</f>
        <v>197</v>
      </c>
      <c r="AA13" s="142">
        <f t="shared" si="11"/>
        <v>197</v>
      </c>
      <c r="AB13" s="142">
        <f t="shared" si="12"/>
        <v>204.60000000000036</v>
      </c>
      <c r="AC13" s="142">
        <f t="shared" si="13"/>
        <v>9967</v>
      </c>
      <c r="AD13" s="91">
        <f t="shared" si="14"/>
        <v>204.6</v>
      </c>
      <c r="AE13" s="91">
        <f t="shared" si="15"/>
        <v>9967</v>
      </c>
    </row>
    <row r="14" spans="1:31" ht="13.5">
      <c r="A14" s="366">
        <f t="shared" si="0"/>
        <v>6</v>
      </c>
      <c r="B14" s="136">
        <f>TempsF2Ce!$B9</f>
        <v>1</v>
      </c>
      <c r="C14" s="29" t="str">
        <f>TempsF2Ce!$C9</f>
        <v>ANDREEV S. / SOBKO S.</v>
      </c>
      <c r="D14" s="137" t="str">
        <f>TempsF2Ce!$D9</f>
        <v>W/CH</v>
      </c>
      <c r="E14" s="149" t="str">
        <f>TempsF2Ce!$E9</f>
        <v>RUS</v>
      </c>
      <c r="F14" s="343">
        <f>IF($X14="","",IF($X14=1000000,"",IF($X14=10000,0,IF($X14&gt;9000,"",INT($X14/60)))))</f>
        <v>3</v>
      </c>
      <c r="G14" s="327" t="str">
        <f>IF($X14="","",IF($X14=1000000,"",IF($X14=10000,":",IF($X14&gt;9000,"",":"))))</f>
        <v>:</v>
      </c>
      <c r="H14" s="140">
        <f>IF($X14="","",IF($X14=1000000,"DISQ",IF($X14&gt;9000,10000-$X14,$X14-INT($X14/60)*60)))</f>
        <v>17.69999999999999</v>
      </c>
      <c r="I14" s="257">
        <f>IF($Y14="","",IF($Y14=1000000,"",IF($Y14=10000,0,IF($Y14&gt;9000,"",INT($Y14/60)))))</f>
        <v>3</v>
      </c>
      <c r="J14" s="262" t="str">
        <f>IF($Y14="","",IF($Y14=1000000,"",IF($Y14=10000,":",IF($Y14&gt;9000,"",":"))))</f>
        <v>:</v>
      </c>
      <c r="K14" s="252">
        <f>IF($Y14="","",IF($Y14=1000000,"DISQ",IF($Y14&gt;9000,10000-$Y14,$Y14-INT($Y14/60)*60)))</f>
        <v>17.5</v>
      </c>
      <c r="L14" s="343">
        <f>IF($Z14="","",IF($Z14=1000000,"",IF($Z14=10000,0,IF($Z14&gt;9000,"",INT($Z14/60)))))</f>
        <v>3</v>
      </c>
      <c r="M14" s="327" t="str">
        <f>IF($Z14="","",IF($Z14=1000000,"",IF($Z14=10000,":",IF($Z14&gt;9000,"",":"))))</f>
        <v>:</v>
      </c>
      <c r="N14" s="140">
        <f>IF($Z14="","",IF($Z14=1000000,"DISQ",IF($Z14&gt;9000,10000-$Z14,$Z14-INT($Z14/60)*60)))</f>
        <v>22.5</v>
      </c>
      <c r="O14" s="243"/>
      <c r="P14" s="257">
        <f>IF($AA14=1000000,"",IF($AA14=10000,0,IF($AA14&gt;9000,"",INT($AA14/60))))</f>
        <v>3</v>
      </c>
      <c r="Q14" s="263" t="str">
        <f>IF($AA14=1000000,"",IF($AA14=10000,":",IF($AA14&gt;9000,"",":")))</f>
        <v>:</v>
      </c>
      <c r="R14" s="252">
        <f>IF($AA14=1000000,"DISQ",IF($AA14&gt;9000,10000-$AA14,$AA14-INT($AA14/60)*60))</f>
        <v>17.5</v>
      </c>
      <c r="X14" s="142">
        <f>TempsF2Ce!X9</f>
        <v>197.7</v>
      </c>
      <c r="Y14" s="142">
        <f>TempsF2Ce!Y9</f>
        <v>197.5</v>
      </c>
      <c r="Z14" s="142">
        <f>TempsF2Ce!Z9</f>
        <v>202.5</v>
      </c>
      <c r="AA14" s="142">
        <f t="shared" si="11"/>
        <v>197.5</v>
      </c>
      <c r="AB14" s="142">
        <f t="shared" si="12"/>
        <v>197.70000000000005</v>
      </c>
      <c r="AC14" s="142">
        <f t="shared" si="13"/>
        <v>202.5</v>
      </c>
      <c r="AD14" s="91">
        <f>MIN(X14,Y14)</f>
        <v>197.5</v>
      </c>
      <c r="AE14" s="91">
        <f>MAX(X14,Y14)</f>
        <v>197.7</v>
      </c>
    </row>
    <row r="15" spans="1:31" ht="13.5">
      <c r="A15" s="366">
        <f t="shared" si="0"/>
        <v>7</v>
      </c>
      <c r="B15" s="136">
        <f>TempsF2Ce!$B38</f>
        <v>31</v>
      </c>
      <c r="C15" s="29" t="str">
        <f>TempsF2Ce!$C38</f>
        <v>MORTINHO A. / GOULAO J.</v>
      </c>
      <c r="D15" s="137">
        <f>TempsF2Ce!$D38</f>
        <v>0</v>
      </c>
      <c r="E15" s="149" t="str">
        <f>TempsF2Ce!$E38</f>
        <v>POR</v>
      </c>
      <c r="F15" s="343"/>
      <c r="G15" s="327"/>
      <c r="H15" s="363" t="str">
        <f t="shared" si="1"/>
        <v>DISQ</v>
      </c>
      <c r="I15" s="343">
        <f t="shared" si="2"/>
        <v>3</v>
      </c>
      <c r="J15" s="327" t="str">
        <f t="shared" si="3"/>
        <v>:</v>
      </c>
      <c r="K15" s="140">
        <f t="shared" si="4"/>
        <v>25.30000000000001</v>
      </c>
      <c r="L15" s="257">
        <f t="shared" si="5"/>
        <v>3</v>
      </c>
      <c r="M15" s="262" t="str">
        <f t="shared" si="6"/>
        <v>:</v>
      </c>
      <c r="N15" s="252">
        <f t="shared" si="7"/>
        <v>17.599999999999994</v>
      </c>
      <c r="O15" s="243"/>
      <c r="P15" s="257">
        <f t="shared" si="8"/>
        <v>3</v>
      </c>
      <c r="Q15" s="263" t="str">
        <f t="shared" si="9"/>
        <v>:</v>
      </c>
      <c r="R15" s="252">
        <f t="shared" si="10"/>
        <v>17.599999999999994</v>
      </c>
      <c r="X15" s="142">
        <f>TempsF2Ce!X38</f>
        <v>1000000</v>
      </c>
      <c r="Y15" s="142">
        <f>TempsF2Ce!Y38</f>
        <v>205.3</v>
      </c>
      <c r="Z15" s="142">
        <f>TempsF2Ce!Z38</f>
        <v>197.6</v>
      </c>
      <c r="AA15" s="142">
        <f t="shared" si="11"/>
        <v>197.6</v>
      </c>
      <c r="AB15" s="142">
        <f t="shared" si="12"/>
        <v>205.3000000000233</v>
      </c>
      <c r="AC15" s="142">
        <f t="shared" si="13"/>
        <v>1000000</v>
      </c>
      <c r="AD15" s="91">
        <f t="shared" si="14"/>
        <v>205.3</v>
      </c>
      <c r="AE15" s="91">
        <f t="shared" si="15"/>
        <v>1000000</v>
      </c>
    </row>
    <row r="16" spans="1:31" ht="13.5">
      <c r="A16" s="366">
        <f t="shared" si="0"/>
        <v>8</v>
      </c>
      <c r="B16" s="136">
        <f>TempsF2Ce!$B41</f>
        <v>34</v>
      </c>
      <c r="C16" s="29" t="str">
        <f>TempsF2Ce!$C41</f>
        <v>TITOV V. / JOUGOV V.</v>
      </c>
      <c r="D16" s="137">
        <f>TempsF2Ce!$D41</f>
        <v>0</v>
      </c>
      <c r="E16" s="149" t="str">
        <f>TempsF2Ce!$E41</f>
        <v>RUS</v>
      </c>
      <c r="F16" s="343">
        <f t="shared" si="16"/>
        <v>3</v>
      </c>
      <c r="G16" s="327" t="str">
        <f t="shared" si="17"/>
        <v>:</v>
      </c>
      <c r="H16" s="140">
        <f t="shared" si="1"/>
        <v>27</v>
      </c>
      <c r="I16" s="257">
        <f t="shared" si="2"/>
        <v>3</v>
      </c>
      <c r="J16" s="262" t="str">
        <f t="shared" si="3"/>
        <v>:</v>
      </c>
      <c r="K16" s="252">
        <f t="shared" si="4"/>
        <v>18</v>
      </c>
      <c r="L16" s="343">
        <f t="shared" si="5"/>
        <v>3</v>
      </c>
      <c r="M16" s="327" t="str">
        <f t="shared" si="6"/>
        <v>:</v>
      </c>
      <c r="N16" s="140">
        <f t="shared" si="7"/>
        <v>54</v>
      </c>
      <c r="O16" s="243"/>
      <c r="P16" s="257">
        <f t="shared" si="8"/>
        <v>3</v>
      </c>
      <c r="Q16" s="263" t="str">
        <f t="shared" si="9"/>
        <v>:</v>
      </c>
      <c r="R16" s="252">
        <f t="shared" si="10"/>
        <v>18</v>
      </c>
      <c r="X16" s="142">
        <f>TempsF2Ce!X41</f>
        <v>207</v>
      </c>
      <c r="Y16" s="142">
        <f>TempsF2Ce!Y41</f>
        <v>198</v>
      </c>
      <c r="Z16" s="142">
        <f>TempsF2Ce!Z41</f>
        <v>234</v>
      </c>
      <c r="AA16" s="142">
        <f t="shared" si="11"/>
        <v>198</v>
      </c>
      <c r="AB16" s="142">
        <f t="shared" si="12"/>
        <v>207</v>
      </c>
      <c r="AC16" s="142">
        <f t="shared" si="13"/>
        <v>234</v>
      </c>
      <c r="AD16" s="91">
        <f t="shared" si="14"/>
        <v>198</v>
      </c>
      <c r="AE16" s="91">
        <f t="shared" si="15"/>
        <v>207</v>
      </c>
    </row>
    <row r="17" spans="1:31" ht="13.5">
      <c r="A17" s="366">
        <f t="shared" si="0"/>
        <v>9</v>
      </c>
      <c r="B17" s="136">
        <f>TempsF2Ce!$B23</f>
        <v>15</v>
      </c>
      <c r="C17" s="29" t="str">
        <f>TempsF2Ce!$C23</f>
        <v>SURUGUE P. / SURUGUE G.</v>
      </c>
      <c r="D17" s="137">
        <f>TempsF2Ce!$D23</f>
        <v>0</v>
      </c>
      <c r="E17" s="149" t="str">
        <f>TempsF2Ce!$E23</f>
        <v>FRA</v>
      </c>
      <c r="F17" s="257">
        <f t="shared" si="16"/>
        <v>3</v>
      </c>
      <c r="G17" s="262" t="str">
        <f t="shared" si="17"/>
        <v>:</v>
      </c>
      <c r="H17" s="252">
        <f t="shared" si="1"/>
        <v>18.400000000000006</v>
      </c>
      <c r="I17" s="343"/>
      <c r="J17" s="327"/>
      <c r="K17" s="364">
        <f t="shared" si="4"/>
        <v>74</v>
      </c>
      <c r="L17" s="343"/>
      <c r="M17" s="327"/>
      <c r="N17" s="364">
        <f t="shared" si="7"/>
      </c>
      <c r="O17" s="243"/>
      <c r="P17" s="257">
        <f t="shared" si="8"/>
        <v>3</v>
      </c>
      <c r="Q17" s="263" t="str">
        <f t="shared" si="9"/>
        <v>:</v>
      </c>
      <c r="R17" s="252">
        <f t="shared" si="10"/>
        <v>18.400000000000006</v>
      </c>
      <c r="X17" s="142">
        <f>TempsF2Ce!X23</f>
        <v>198.4</v>
      </c>
      <c r="Y17" s="142">
        <f>TempsF2Ce!Y23</f>
        <v>9926</v>
      </c>
      <c r="Z17" s="142">
        <f>TempsF2Ce!Z23</f>
      </c>
      <c r="AA17" s="142">
        <f t="shared" si="11"/>
        <v>198.4</v>
      </c>
      <c r="AB17" s="142">
        <f t="shared" si="12"/>
        <v>-3.694822225952521E-13</v>
      </c>
      <c r="AC17" s="142">
        <f t="shared" si="13"/>
        <v>9926</v>
      </c>
      <c r="AD17" s="91">
        <f t="shared" si="14"/>
        <v>198.4</v>
      </c>
      <c r="AE17" s="91">
        <f t="shared" si="15"/>
        <v>9926</v>
      </c>
    </row>
    <row r="18" spans="1:31" ht="13.5">
      <c r="A18" s="366">
        <f t="shared" si="0"/>
        <v>10</v>
      </c>
      <c r="B18" s="136">
        <f>TempsF2Ce!$B27</f>
        <v>19</v>
      </c>
      <c r="C18" s="29" t="str">
        <f>TempsF2Ce!$C27</f>
        <v>ROSS M. / TURNER B.</v>
      </c>
      <c r="D18" s="137">
        <f>TempsF2Ce!$D27</f>
        <v>0</v>
      </c>
      <c r="E18" s="149" t="str">
        <f>TempsF2Ce!$E27</f>
        <v>GBR</v>
      </c>
      <c r="F18" s="257">
        <f t="shared" si="16"/>
        <v>3</v>
      </c>
      <c r="G18" s="262" t="str">
        <f t="shared" si="17"/>
        <v>:</v>
      </c>
      <c r="H18" s="252">
        <f t="shared" si="1"/>
        <v>19.69999999999999</v>
      </c>
      <c r="I18" s="343">
        <f t="shared" si="2"/>
        <v>3</v>
      </c>
      <c r="J18" s="327" t="str">
        <f t="shared" si="3"/>
        <v>:</v>
      </c>
      <c r="K18" s="140">
        <f t="shared" si="4"/>
        <v>20.5</v>
      </c>
      <c r="L18" s="343">
        <f t="shared" si="5"/>
        <v>3</v>
      </c>
      <c r="M18" s="327" t="str">
        <f t="shared" si="6"/>
        <v>:</v>
      </c>
      <c r="N18" s="140">
        <f t="shared" si="7"/>
        <v>22</v>
      </c>
      <c r="O18" s="243"/>
      <c r="P18" s="257">
        <f t="shared" si="8"/>
        <v>3</v>
      </c>
      <c r="Q18" s="263" t="str">
        <f t="shared" si="9"/>
        <v>:</v>
      </c>
      <c r="R18" s="252">
        <f t="shared" si="10"/>
        <v>19.69999999999999</v>
      </c>
      <c r="X18" s="142">
        <f>TempsF2Ce!X27</f>
        <v>199.7</v>
      </c>
      <c r="Y18" s="142">
        <f>TempsF2Ce!Y27</f>
        <v>200.5</v>
      </c>
      <c r="Z18" s="142">
        <f>TempsF2Ce!Z27</f>
        <v>202</v>
      </c>
      <c r="AA18" s="142">
        <f t="shared" si="11"/>
        <v>199.7</v>
      </c>
      <c r="AB18" s="142">
        <f t="shared" si="12"/>
        <v>200.50000000000006</v>
      </c>
      <c r="AC18" s="142">
        <f t="shared" si="13"/>
        <v>202</v>
      </c>
      <c r="AD18" s="91">
        <f t="shared" si="14"/>
        <v>199.7</v>
      </c>
      <c r="AE18" s="91">
        <f t="shared" si="15"/>
        <v>200.5</v>
      </c>
    </row>
    <row r="19" spans="1:31" ht="13.5">
      <c r="A19" s="366">
        <f t="shared" si="0"/>
        <v>11</v>
      </c>
      <c r="B19" s="136">
        <f>TempsF2Ce!$B34</f>
        <v>26</v>
      </c>
      <c r="C19" s="29" t="str">
        <f>TempsF2Ce!$C34</f>
        <v>MARTINI G. / MENOZZI M.</v>
      </c>
      <c r="D19" s="137">
        <f>TempsF2Ce!$D34</f>
        <v>0</v>
      </c>
      <c r="E19" s="149" t="str">
        <f>TempsF2Ce!$E34</f>
        <v>ITA</v>
      </c>
      <c r="F19" s="343">
        <f t="shared" si="16"/>
        <v>3</v>
      </c>
      <c r="G19" s="327" t="str">
        <f t="shared" si="17"/>
        <v>:</v>
      </c>
      <c r="H19" s="140">
        <f t="shared" si="1"/>
        <v>21.30000000000001</v>
      </c>
      <c r="I19" s="343">
        <f t="shared" si="2"/>
        <v>3</v>
      </c>
      <c r="J19" s="327" t="str">
        <f t="shared" si="3"/>
        <v>:</v>
      </c>
      <c r="K19" s="140">
        <f t="shared" si="4"/>
        <v>25.900000000000006</v>
      </c>
      <c r="L19" s="257">
        <f t="shared" si="5"/>
        <v>3</v>
      </c>
      <c r="M19" s="262" t="str">
        <f t="shared" si="6"/>
        <v>:</v>
      </c>
      <c r="N19" s="252">
        <f t="shared" si="7"/>
        <v>20.400000000000006</v>
      </c>
      <c r="O19" s="243"/>
      <c r="P19" s="257">
        <f t="shared" si="8"/>
        <v>3</v>
      </c>
      <c r="Q19" s="263" t="str">
        <f t="shared" si="9"/>
        <v>:</v>
      </c>
      <c r="R19" s="252">
        <f t="shared" si="10"/>
        <v>20.400000000000006</v>
      </c>
      <c r="X19" s="142">
        <f>TempsF2Ce!X34</f>
        <v>201.3</v>
      </c>
      <c r="Y19" s="142">
        <f>TempsF2Ce!Y34</f>
        <v>205.9</v>
      </c>
      <c r="Z19" s="142">
        <f>TempsF2Ce!Z34</f>
        <v>200.4</v>
      </c>
      <c r="AA19" s="142">
        <f t="shared" si="11"/>
        <v>200.4</v>
      </c>
      <c r="AB19" s="142">
        <f t="shared" si="12"/>
        <v>201.30000000000004</v>
      </c>
      <c r="AC19" s="142">
        <f t="shared" si="13"/>
        <v>205.9</v>
      </c>
      <c r="AD19" s="91">
        <f t="shared" si="14"/>
        <v>201.3</v>
      </c>
      <c r="AE19" s="91">
        <f t="shared" si="15"/>
        <v>205.9</v>
      </c>
    </row>
    <row r="20" spans="1:31" ht="13.5">
      <c r="A20" s="366">
        <f t="shared" si="0"/>
        <v>12</v>
      </c>
      <c r="B20" s="136">
        <f>TempsF2Ce!$B33</f>
        <v>25</v>
      </c>
      <c r="C20" s="29" t="str">
        <f>TempsF2Ce!$C33</f>
        <v>MAGLI M./  PIRAZZINI E.</v>
      </c>
      <c r="D20" s="137">
        <f>TempsF2Ce!$D33</f>
        <v>0</v>
      </c>
      <c r="E20" s="149" t="str">
        <f>TempsF2Ce!$E33</f>
        <v>ITA</v>
      </c>
      <c r="F20" s="343">
        <f t="shared" si="16"/>
        <v>4</v>
      </c>
      <c r="G20" s="327" t="str">
        <f t="shared" si="17"/>
        <v>:</v>
      </c>
      <c r="H20" s="140">
        <f t="shared" si="1"/>
        <v>7.060000000000002</v>
      </c>
      <c r="I20" s="343">
        <f t="shared" si="2"/>
        <v>3</v>
      </c>
      <c r="J20" s="327" t="str">
        <f t="shared" si="3"/>
        <v>:</v>
      </c>
      <c r="K20" s="140">
        <f t="shared" si="4"/>
        <v>27.19999999999999</v>
      </c>
      <c r="L20" s="257">
        <f t="shared" si="5"/>
        <v>3</v>
      </c>
      <c r="M20" s="262" t="str">
        <f t="shared" si="6"/>
        <v>:</v>
      </c>
      <c r="N20" s="252">
        <f t="shared" si="7"/>
        <v>21.099999999999994</v>
      </c>
      <c r="O20" s="243"/>
      <c r="P20" s="257">
        <f t="shared" si="8"/>
        <v>3</v>
      </c>
      <c r="Q20" s="263" t="str">
        <f t="shared" si="9"/>
        <v>:</v>
      </c>
      <c r="R20" s="252">
        <f t="shared" si="10"/>
        <v>21.099999999999994</v>
      </c>
      <c r="X20" s="142">
        <f>TempsF2Ce!X33</f>
        <v>247.06</v>
      </c>
      <c r="Y20" s="142">
        <f>TempsF2Ce!Y33</f>
        <v>207.2</v>
      </c>
      <c r="Z20" s="142">
        <f>TempsF2Ce!Z33</f>
        <v>201.1</v>
      </c>
      <c r="AA20" s="142">
        <f t="shared" si="11"/>
        <v>201.1</v>
      </c>
      <c r="AB20" s="142">
        <f t="shared" si="12"/>
        <v>207.20000000000002</v>
      </c>
      <c r="AC20" s="142">
        <f t="shared" si="13"/>
        <v>247.06</v>
      </c>
      <c r="AD20" s="91">
        <f t="shared" si="14"/>
        <v>207.2</v>
      </c>
      <c r="AE20" s="91">
        <f t="shared" si="15"/>
        <v>247.06</v>
      </c>
    </row>
    <row r="21" spans="1:31" ht="13.5">
      <c r="A21" s="229">
        <f t="shared" si="0"/>
        <v>13</v>
      </c>
      <c r="B21" s="136">
        <f>TempsF2Ce!$B22</f>
        <v>14</v>
      </c>
      <c r="C21" s="29" t="str">
        <f>TempsF2Ce!$C22</f>
        <v>DELOR B. / CONSTANT P.</v>
      </c>
      <c r="D21" s="137">
        <f>TempsF2Ce!$D22</f>
        <v>0</v>
      </c>
      <c r="E21" s="149" t="str">
        <f>TempsF2Ce!$E22</f>
        <v>FRA</v>
      </c>
      <c r="F21" s="257">
        <f t="shared" si="16"/>
        <v>3</v>
      </c>
      <c r="G21" s="262" t="str">
        <f t="shared" si="17"/>
        <v>:</v>
      </c>
      <c r="H21" s="252">
        <f t="shared" si="1"/>
        <v>21.099999999999994</v>
      </c>
      <c r="I21" s="343"/>
      <c r="J21" s="327"/>
      <c r="K21" s="364">
        <f t="shared" si="4"/>
        <v>34</v>
      </c>
      <c r="L21" s="343"/>
      <c r="M21" s="327"/>
      <c r="N21" s="363" t="str">
        <f t="shared" si="7"/>
        <v>DISQ</v>
      </c>
      <c r="O21" s="243"/>
      <c r="P21" s="257">
        <f t="shared" si="8"/>
        <v>3</v>
      </c>
      <c r="Q21" s="263" t="str">
        <f t="shared" si="9"/>
        <v>:</v>
      </c>
      <c r="R21" s="252">
        <f t="shared" si="10"/>
        <v>21.099999999999994</v>
      </c>
      <c r="X21" s="142">
        <f>TempsF2Ce!X22</f>
        <v>201.1</v>
      </c>
      <c r="Y21" s="142">
        <f>TempsF2Ce!Y22</f>
        <v>9966</v>
      </c>
      <c r="Z21" s="142">
        <f>TempsF2Ce!Z22</f>
        <v>1000000</v>
      </c>
      <c r="AA21" s="142">
        <f t="shared" si="11"/>
        <v>201.1</v>
      </c>
      <c r="AB21" s="142">
        <f t="shared" si="12"/>
        <v>9965.999999999976</v>
      </c>
      <c r="AC21" s="142">
        <f t="shared" si="13"/>
        <v>1000000</v>
      </c>
      <c r="AD21" s="91">
        <f t="shared" si="14"/>
        <v>201.1</v>
      </c>
      <c r="AE21" s="91">
        <f t="shared" si="15"/>
        <v>9966</v>
      </c>
    </row>
    <row r="22" spans="1:31" ht="13.5">
      <c r="A22" s="229">
        <f t="shared" si="0"/>
        <v>14</v>
      </c>
      <c r="B22" s="136">
        <f>TempsF2Ce!$B54</f>
        <v>47</v>
      </c>
      <c r="C22" s="29" t="str">
        <f>TempsF2Ce!$C54</f>
        <v>ZHURAVLYOV V. / SOSNOVSKIY V.</v>
      </c>
      <c r="D22" s="137">
        <f>TempsF2Ce!$D54</f>
        <v>0</v>
      </c>
      <c r="E22" s="149" t="str">
        <f>TempsF2Ce!$E54</f>
        <v>UKR</v>
      </c>
      <c r="F22" s="343"/>
      <c r="G22" s="327"/>
      <c r="H22" s="363" t="str">
        <f t="shared" si="1"/>
        <v>DISQ</v>
      </c>
      <c r="I22" s="257">
        <f t="shared" si="2"/>
        <v>3</v>
      </c>
      <c r="J22" s="262" t="str">
        <f t="shared" si="3"/>
        <v>:</v>
      </c>
      <c r="K22" s="252">
        <f t="shared" si="4"/>
        <v>21.69999999999999</v>
      </c>
      <c r="L22" s="343">
        <f t="shared" si="5"/>
        <v>3</v>
      </c>
      <c r="M22" s="327" t="str">
        <f t="shared" si="6"/>
        <v>:</v>
      </c>
      <c r="N22" s="140">
        <f t="shared" si="7"/>
        <v>38.900000000000006</v>
      </c>
      <c r="O22" s="243"/>
      <c r="P22" s="257">
        <f t="shared" si="8"/>
        <v>3</v>
      </c>
      <c r="Q22" s="263" t="str">
        <f t="shared" si="9"/>
        <v>:</v>
      </c>
      <c r="R22" s="252">
        <f t="shared" si="10"/>
        <v>21.69999999999999</v>
      </c>
      <c r="X22" s="142">
        <f>TempsF2Ce!X54</f>
        <v>1000000</v>
      </c>
      <c r="Y22" s="142">
        <f>TempsF2Ce!Y54</f>
        <v>201.7</v>
      </c>
      <c r="Z22" s="142">
        <f>TempsF2Ce!Z54</f>
        <v>218.9</v>
      </c>
      <c r="AA22" s="142">
        <f t="shared" si="11"/>
        <v>201.7</v>
      </c>
      <c r="AB22" s="142">
        <f t="shared" si="12"/>
        <v>218.89999999997673</v>
      </c>
      <c r="AC22" s="142">
        <f t="shared" si="13"/>
        <v>1000000</v>
      </c>
      <c r="AD22" s="91">
        <f t="shared" si="14"/>
        <v>201.7</v>
      </c>
      <c r="AE22" s="91">
        <f t="shared" si="15"/>
        <v>1000000</v>
      </c>
    </row>
    <row r="23" spans="1:31" ht="13.5">
      <c r="A23" s="229">
        <f t="shared" si="0"/>
        <v>15</v>
      </c>
      <c r="B23" s="136">
        <f>TempsF2Ce!$B55</f>
        <v>49</v>
      </c>
      <c r="C23" s="29" t="str">
        <f>TempsF2Ce!$C55</f>
        <v>ASCHER A. / ASCHER L.</v>
      </c>
      <c r="D23" s="137">
        <f>TempsF2Ce!$D55</f>
        <v>0</v>
      </c>
      <c r="E23" s="149" t="str">
        <f>TempsF2Ce!$E55</f>
        <v>USA</v>
      </c>
      <c r="F23" s="343">
        <f t="shared" si="16"/>
        <v>3</v>
      </c>
      <c r="G23" s="327" t="str">
        <f t="shared" si="17"/>
        <v>:</v>
      </c>
      <c r="H23" s="140">
        <f t="shared" si="1"/>
        <v>31.5</v>
      </c>
      <c r="I23" s="257">
        <f t="shared" si="2"/>
        <v>3</v>
      </c>
      <c r="J23" s="262" t="str">
        <f t="shared" si="3"/>
        <v>:</v>
      </c>
      <c r="K23" s="252">
        <f t="shared" si="4"/>
        <v>24.69999999999999</v>
      </c>
      <c r="L23" s="343">
        <f t="shared" si="5"/>
        <v>3</v>
      </c>
      <c r="M23" s="327" t="str">
        <f t="shared" si="6"/>
        <v>:</v>
      </c>
      <c r="N23" s="140">
        <f t="shared" si="7"/>
        <v>29.599999999999994</v>
      </c>
      <c r="O23" s="243"/>
      <c r="P23" s="257">
        <f t="shared" si="8"/>
        <v>3</v>
      </c>
      <c r="Q23" s="263" t="str">
        <f t="shared" si="9"/>
        <v>:</v>
      </c>
      <c r="R23" s="252">
        <f t="shared" si="10"/>
        <v>24.69999999999999</v>
      </c>
      <c r="X23" s="142">
        <f>TempsF2Ce!X55</f>
        <v>211.5</v>
      </c>
      <c r="Y23" s="142">
        <f>TempsF2Ce!Y55</f>
        <v>204.7</v>
      </c>
      <c r="Z23" s="142">
        <f>TempsF2Ce!Z55</f>
        <v>209.6</v>
      </c>
      <c r="AA23" s="142">
        <f t="shared" si="11"/>
        <v>204.7</v>
      </c>
      <c r="AB23" s="142">
        <f t="shared" si="12"/>
        <v>209.59999999999997</v>
      </c>
      <c r="AC23" s="142">
        <f t="shared" si="13"/>
        <v>211.5</v>
      </c>
      <c r="AD23" s="91">
        <f t="shared" si="14"/>
        <v>204.7</v>
      </c>
      <c r="AE23" s="91">
        <f t="shared" si="15"/>
        <v>211.5</v>
      </c>
    </row>
    <row r="24" spans="1:31" ht="13.5">
      <c r="A24" s="229">
        <f t="shared" si="0"/>
        <v>16</v>
      </c>
      <c r="B24" s="136">
        <f>TempsF2Ce!$B53</f>
        <v>46</v>
      </c>
      <c r="C24" s="29" t="str">
        <f>TempsF2Ce!$C53</f>
        <v>BEZMERTNY Y. / FULITKA V.</v>
      </c>
      <c r="D24" s="137">
        <f>TempsF2Ce!$D53</f>
        <v>0</v>
      </c>
      <c r="E24" s="149" t="str">
        <f>TempsF2Ce!$E53</f>
        <v>UKR</v>
      </c>
      <c r="F24" s="257">
        <f t="shared" si="16"/>
        <v>3</v>
      </c>
      <c r="G24" s="262" t="str">
        <f t="shared" si="17"/>
        <v>:</v>
      </c>
      <c r="H24" s="252">
        <f t="shared" si="1"/>
        <v>24.69999999999999</v>
      </c>
      <c r="I24" s="343">
        <f t="shared" si="2"/>
        <v>3</v>
      </c>
      <c r="J24" s="327" t="str">
        <f t="shared" si="3"/>
        <v>:</v>
      </c>
      <c r="K24" s="140">
        <f t="shared" si="4"/>
        <v>29.69999999999999</v>
      </c>
      <c r="L24" s="343"/>
      <c r="M24" s="327"/>
      <c r="N24" s="363" t="str">
        <f t="shared" si="7"/>
        <v>DISQ</v>
      </c>
      <c r="O24" s="243"/>
      <c r="P24" s="257">
        <f t="shared" si="8"/>
        <v>3</v>
      </c>
      <c r="Q24" s="263" t="str">
        <f t="shared" si="9"/>
        <v>:</v>
      </c>
      <c r="R24" s="252">
        <f t="shared" si="10"/>
        <v>24.69999999999999</v>
      </c>
      <c r="X24" s="142">
        <f>TempsF2Ce!X53</f>
        <v>204.7</v>
      </c>
      <c r="Y24" s="142">
        <f>TempsF2Ce!Y53</f>
        <v>209.7</v>
      </c>
      <c r="Z24" s="142">
        <f>TempsF2Ce!Z53</f>
        <v>1000000</v>
      </c>
      <c r="AA24" s="142">
        <f t="shared" si="11"/>
        <v>204.7</v>
      </c>
      <c r="AB24" s="142">
        <f t="shared" si="12"/>
        <v>209.7000000000233</v>
      </c>
      <c r="AC24" s="142">
        <f t="shared" si="13"/>
        <v>1000000</v>
      </c>
      <c r="AD24" s="91">
        <f t="shared" si="14"/>
        <v>204.7</v>
      </c>
      <c r="AE24" s="91">
        <f t="shared" si="15"/>
        <v>209.7</v>
      </c>
    </row>
    <row r="25" spans="1:31" ht="13.5">
      <c r="A25" s="229">
        <f t="shared" si="0"/>
        <v>17</v>
      </c>
      <c r="B25" s="136">
        <f>TempsF2Ce!$B29</f>
        <v>21</v>
      </c>
      <c r="C25" s="29" t="str">
        <f>TempsF2Ce!$C54</f>
        <v>ZHURAVLYOV V. / SOSNOVSKIY V.</v>
      </c>
      <c r="D25" s="137">
        <f>TempsF2Ce!$D29</f>
        <v>0</v>
      </c>
      <c r="E25" s="149" t="str">
        <f>TempsF2Ce!$E29</f>
        <v>GBR</v>
      </c>
      <c r="F25" s="257">
        <f t="shared" si="16"/>
        <v>3</v>
      </c>
      <c r="G25" s="262" t="str">
        <f t="shared" si="17"/>
        <v>:</v>
      </c>
      <c r="H25" s="252">
        <f t="shared" si="1"/>
        <v>25.900000000000006</v>
      </c>
      <c r="I25" s="343">
        <f t="shared" si="2"/>
        <v>3</v>
      </c>
      <c r="J25" s="327" t="str">
        <f t="shared" si="3"/>
        <v>:</v>
      </c>
      <c r="K25" s="140">
        <f t="shared" si="4"/>
        <v>31.900000000000006</v>
      </c>
      <c r="L25" s="343">
        <f t="shared" si="5"/>
        <v>3</v>
      </c>
      <c r="M25" s="327" t="str">
        <f t="shared" si="6"/>
        <v>:</v>
      </c>
      <c r="N25" s="140">
        <f t="shared" si="7"/>
        <v>26.5</v>
      </c>
      <c r="P25" s="257">
        <f t="shared" si="8"/>
        <v>3</v>
      </c>
      <c r="Q25" s="263" t="str">
        <f t="shared" si="9"/>
        <v>:</v>
      </c>
      <c r="R25" s="252">
        <f t="shared" si="10"/>
        <v>25.900000000000006</v>
      </c>
      <c r="X25" s="142">
        <f>TempsF2Ce!X29</f>
        <v>205.9</v>
      </c>
      <c r="Y25" s="142">
        <f>TempsF2Ce!Y29</f>
        <v>211.9</v>
      </c>
      <c r="Z25" s="142">
        <f>TempsF2Ce!Z29</f>
        <v>206.5</v>
      </c>
      <c r="AA25" s="142">
        <f t="shared" si="11"/>
        <v>205.9</v>
      </c>
      <c r="AB25" s="142">
        <f t="shared" si="12"/>
        <v>206.49999999999997</v>
      </c>
      <c r="AC25" s="142">
        <f t="shared" si="13"/>
        <v>211.9</v>
      </c>
      <c r="AD25" s="91">
        <f t="shared" si="14"/>
        <v>205.9</v>
      </c>
      <c r="AE25" s="91">
        <f t="shared" si="15"/>
        <v>211.9</v>
      </c>
    </row>
    <row r="26" spans="1:31" ht="13.5">
      <c r="A26" s="229">
        <f t="shared" si="0"/>
        <v>18</v>
      </c>
      <c r="B26" s="136">
        <f>TempsF2Ce!$B15</f>
        <v>7</v>
      </c>
      <c r="C26" s="29" t="str">
        <f>TempsF2Ce!$C15</f>
        <v>DESSAUCY L. / DESSAUCY J. </v>
      </c>
      <c r="D26" s="137">
        <f>TempsF2Ce!$D15</f>
        <v>0</v>
      </c>
      <c r="E26" s="149" t="str">
        <f>TempsF2Ce!$E15</f>
        <v>BEL</v>
      </c>
      <c r="F26" s="343">
        <f t="shared" si="16"/>
        <v>3</v>
      </c>
      <c r="G26" s="327" t="str">
        <f t="shared" si="17"/>
        <v>:</v>
      </c>
      <c r="H26" s="140">
        <f t="shared" si="1"/>
        <v>37.30000000000001</v>
      </c>
      <c r="I26" s="257">
        <f t="shared" si="2"/>
        <v>3</v>
      </c>
      <c r="J26" s="262" t="str">
        <f t="shared" si="3"/>
        <v>:</v>
      </c>
      <c r="K26" s="252">
        <f t="shared" si="4"/>
        <v>26.80000000000001</v>
      </c>
      <c r="L26" s="343">
        <f t="shared" si="5"/>
        <v>3</v>
      </c>
      <c r="M26" s="327" t="str">
        <f t="shared" si="6"/>
        <v>:</v>
      </c>
      <c r="N26" s="140">
        <f t="shared" si="7"/>
        <v>38</v>
      </c>
      <c r="P26" s="257">
        <f t="shared" si="8"/>
        <v>3</v>
      </c>
      <c r="Q26" s="263" t="str">
        <f t="shared" si="9"/>
        <v>:</v>
      </c>
      <c r="R26" s="252">
        <f t="shared" si="10"/>
        <v>26.80000000000001</v>
      </c>
      <c r="X26" s="142">
        <f>TempsF2Ce!X15</f>
        <v>217.3</v>
      </c>
      <c r="Y26" s="142">
        <f>TempsF2Ce!Y15</f>
        <v>206.8</v>
      </c>
      <c r="Z26" s="142">
        <f>TempsF2Ce!Z15</f>
        <v>218</v>
      </c>
      <c r="AA26" s="142">
        <f t="shared" si="11"/>
        <v>206.8</v>
      </c>
      <c r="AB26" s="142">
        <f t="shared" si="12"/>
        <v>217.3</v>
      </c>
      <c r="AC26" s="142">
        <f t="shared" si="13"/>
        <v>218</v>
      </c>
      <c r="AD26" s="91">
        <f t="shared" si="14"/>
        <v>206.8</v>
      </c>
      <c r="AE26" s="91">
        <f t="shared" si="15"/>
        <v>217.3</v>
      </c>
    </row>
    <row r="27" spans="1:31" ht="13.5">
      <c r="A27" s="229">
        <f t="shared" si="0"/>
        <v>19</v>
      </c>
      <c r="B27" s="136">
        <f>TempsF2Ce!$B35</f>
        <v>28</v>
      </c>
      <c r="C27" s="29" t="str">
        <f>TempsF2Ce!$C35</f>
        <v>VENDEL Micha / METKEMEIJER R.</v>
      </c>
      <c r="D27" s="137">
        <f>TempsF2Ce!$D35</f>
        <v>0</v>
      </c>
      <c r="E27" s="149" t="str">
        <f>TempsF2Ce!$E35</f>
        <v>NED</v>
      </c>
      <c r="F27" s="343">
        <f t="shared" si="16"/>
        <v>3</v>
      </c>
      <c r="G27" s="327" t="str">
        <f t="shared" si="17"/>
        <v>:</v>
      </c>
      <c r="H27" s="140">
        <f t="shared" si="1"/>
        <v>40.19999999999999</v>
      </c>
      <c r="I27" s="343"/>
      <c r="J27" s="327"/>
      <c r="K27" s="363" t="str">
        <f t="shared" si="4"/>
        <v>DISQ</v>
      </c>
      <c r="L27" s="257">
        <f t="shared" si="5"/>
        <v>3</v>
      </c>
      <c r="M27" s="262" t="str">
        <f t="shared" si="6"/>
        <v>:</v>
      </c>
      <c r="N27" s="252">
        <f t="shared" si="7"/>
        <v>27.30000000000001</v>
      </c>
      <c r="P27" s="257">
        <f t="shared" si="8"/>
        <v>3</v>
      </c>
      <c r="Q27" s="263" t="str">
        <f t="shared" si="9"/>
        <v>:</v>
      </c>
      <c r="R27" s="252">
        <f t="shared" si="10"/>
        <v>27.30000000000001</v>
      </c>
      <c r="X27" s="142">
        <f>TempsF2Ce!X35</f>
        <v>220.2</v>
      </c>
      <c r="Y27" s="142">
        <f>TempsF2Ce!Y35</f>
        <v>1000000</v>
      </c>
      <c r="Z27" s="142">
        <f>TempsF2Ce!Z35</f>
        <v>207.3</v>
      </c>
      <c r="AA27" s="142">
        <f t="shared" si="11"/>
        <v>207.3</v>
      </c>
      <c r="AB27" s="142">
        <f t="shared" si="12"/>
        <v>220.2</v>
      </c>
      <c r="AC27" s="142">
        <f t="shared" si="13"/>
        <v>1000000</v>
      </c>
      <c r="AD27" s="91">
        <f t="shared" si="14"/>
        <v>220.2</v>
      </c>
      <c r="AE27" s="91">
        <f t="shared" si="15"/>
        <v>1000000</v>
      </c>
    </row>
    <row r="28" spans="1:31" ht="13.5">
      <c r="A28" s="229">
        <f t="shared" si="0"/>
        <v>20</v>
      </c>
      <c r="B28" s="136">
        <f>TempsF2Ce!$B19</f>
        <v>11</v>
      </c>
      <c r="C28" s="29" t="str">
        <f>TempsF2Ce!$C19</f>
        <v>CRESPI M. / CRESPI P.</v>
      </c>
      <c r="D28" s="137">
        <f>TempsF2Ce!$D19</f>
        <v>0</v>
      </c>
      <c r="E28" s="149" t="str">
        <f>TempsF2Ce!$E19</f>
        <v>ESP</v>
      </c>
      <c r="F28" s="343"/>
      <c r="G28" s="327"/>
      <c r="H28" s="363" t="str">
        <f t="shared" si="1"/>
        <v>DISQ</v>
      </c>
      <c r="I28" s="257">
        <f t="shared" si="2"/>
        <v>3</v>
      </c>
      <c r="J28" s="262" t="str">
        <f t="shared" si="3"/>
        <v>:</v>
      </c>
      <c r="K28" s="252">
        <f t="shared" si="4"/>
        <v>27.400000000000006</v>
      </c>
      <c r="L28" s="343"/>
      <c r="M28" s="327"/>
      <c r="N28" s="363" t="str">
        <f t="shared" si="7"/>
        <v>DISQ</v>
      </c>
      <c r="P28" s="257">
        <f t="shared" si="8"/>
        <v>3</v>
      </c>
      <c r="Q28" s="263" t="str">
        <f t="shared" si="9"/>
        <v>:</v>
      </c>
      <c r="R28" s="252">
        <f t="shared" si="10"/>
        <v>27.400000000000006</v>
      </c>
      <c r="X28" s="142">
        <f>TempsF2Ce!X19</f>
        <v>1000000</v>
      </c>
      <c r="Y28" s="142">
        <f>TempsF2Ce!Y19</f>
        <v>207.4</v>
      </c>
      <c r="Z28" s="142">
        <f>TempsF2Ce!Z19</f>
        <v>1000000</v>
      </c>
      <c r="AA28" s="142">
        <f t="shared" si="11"/>
        <v>207.4</v>
      </c>
      <c r="AB28" s="142">
        <f t="shared" si="12"/>
        <v>999999.9999999999</v>
      </c>
      <c r="AC28" s="142">
        <f t="shared" si="13"/>
        <v>1000000</v>
      </c>
      <c r="AD28" s="91">
        <f t="shared" si="14"/>
        <v>207.4</v>
      </c>
      <c r="AE28" s="91">
        <f t="shared" si="15"/>
        <v>1000000</v>
      </c>
    </row>
    <row r="29" spans="1:31" ht="13.5">
      <c r="A29" s="229">
        <f t="shared" si="0"/>
        <v>21</v>
      </c>
      <c r="B29" s="136">
        <f>TempsF2Ce!$B49</f>
        <v>42</v>
      </c>
      <c r="C29" s="29" t="str">
        <f>TempsF2Ce!$C49</f>
        <v>BORER H. / SACCAVINO C.</v>
      </c>
      <c r="D29" s="137">
        <f>TempsF2Ce!$D49</f>
        <v>0</v>
      </c>
      <c r="E29" s="149" t="str">
        <f>TempsF2Ce!$E49</f>
        <v>SUI</v>
      </c>
      <c r="F29" s="343"/>
      <c r="G29" s="327"/>
      <c r="H29" s="363" t="str">
        <f t="shared" si="1"/>
        <v>DISQ</v>
      </c>
      <c r="I29" s="257">
        <f t="shared" si="2"/>
        <v>3</v>
      </c>
      <c r="J29" s="262" t="str">
        <f t="shared" si="3"/>
        <v>:</v>
      </c>
      <c r="K29" s="252">
        <f t="shared" si="4"/>
        <v>27.69999999999999</v>
      </c>
      <c r="L29" s="343"/>
      <c r="M29" s="327"/>
      <c r="N29" s="364">
        <f t="shared" si="7"/>
        <v>22</v>
      </c>
      <c r="P29" s="257">
        <f t="shared" si="8"/>
        <v>3</v>
      </c>
      <c r="Q29" s="263" t="str">
        <f t="shared" si="9"/>
        <v>:</v>
      </c>
      <c r="R29" s="252">
        <f t="shared" si="10"/>
        <v>27.69999999999999</v>
      </c>
      <c r="X29" s="142">
        <f>TempsF2Ce!X49</f>
        <v>1000000</v>
      </c>
      <c r="Y29" s="142">
        <f>TempsF2Ce!Y49</f>
        <v>207.7</v>
      </c>
      <c r="Z29" s="142">
        <f>TempsF2Ce!Z49</f>
        <v>9978</v>
      </c>
      <c r="AA29" s="142">
        <f t="shared" si="11"/>
        <v>207.7</v>
      </c>
      <c r="AB29" s="142">
        <f t="shared" si="12"/>
        <v>9977.999999999953</v>
      </c>
      <c r="AC29" s="142">
        <f t="shared" si="13"/>
        <v>1000000</v>
      </c>
      <c r="AD29" s="91">
        <f t="shared" si="14"/>
        <v>207.7</v>
      </c>
      <c r="AE29" s="91">
        <f t="shared" si="15"/>
        <v>1000000</v>
      </c>
    </row>
    <row r="30" spans="1:31" ht="13.5">
      <c r="A30" s="229">
        <f t="shared" si="0"/>
        <v>22</v>
      </c>
      <c r="B30" s="136">
        <f>TempsF2Ce!$B10</f>
        <v>2</v>
      </c>
      <c r="C30" s="29" t="str">
        <f>TempsF2Ce!$C10</f>
        <v>CAMERON P. / FITZGERALD R.</v>
      </c>
      <c r="D30" s="137">
        <f>TempsF2Ce!$D10</f>
        <v>0</v>
      </c>
      <c r="E30" s="149" t="str">
        <f>TempsF2Ce!$E10</f>
        <v>AUS</v>
      </c>
      <c r="F30" s="343">
        <f t="shared" si="16"/>
        <v>3</v>
      </c>
      <c r="G30" s="327" t="str">
        <f t="shared" si="17"/>
        <v>:</v>
      </c>
      <c r="H30" s="140">
        <f t="shared" si="1"/>
        <v>32.19999999999999</v>
      </c>
      <c r="I30" s="343">
        <f t="shared" si="2"/>
        <v>3</v>
      </c>
      <c r="J30" s="327" t="str">
        <f t="shared" si="3"/>
        <v>:</v>
      </c>
      <c r="K30" s="140">
        <f t="shared" si="4"/>
        <v>44.5</v>
      </c>
      <c r="L30" s="257">
        <f t="shared" si="5"/>
        <v>3</v>
      </c>
      <c r="M30" s="262" t="str">
        <f t="shared" si="6"/>
        <v>:</v>
      </c>
      <c r="N30" s="252">
        <f t="shared" si="7"/>
        <v>28.599999999999994</v>
      </c>
      <c r="P30" s="257">
        <f t="shared" si="8"/>
        <v>3</v>
      </c>
      <c r="Q30" s="263" t="str">
        <f t="shared" si="9"/>
        <v>:</v>
      </c>
      <c r="R30" s="252">
        <f t="shared" si="10"/>
        <v>28.599999999999994</v>
      </c>
      <c r="X30" s="142">
        <f>TempsF2Ce!X10</f>
        <v>212.2</v>
      </c>
      <c r="Y30" s="142">
        <f>TempsF2Ce!Y10</f>
        <v>224.5</v>
      </c>
      <c r="Z30" s="142">
        <f>TempsF2Ce!Z10</f>
        <v>208.6</v>
      </c>
      <c r="AA30" s="142">
        <f t="shared" si="11"/>
        <v>208.6</v>
      </c>
      <c r="AB30" s="142">
        <f t="shared" si="12"/>
        <v>212.19999999999996</v>
      </c>
      <c r="AC30" s="142">
        <f t="shared" si="13"/>
        <v>224.5</v>
      </c>
      <c r="AD30" s="91">
        <f t="shared" si="14"/>
        <v>212.2</v>
      </c>
      <c r="AE30" s="91">
        <f t="shared" si="15"/>
        <v>224.5</v>
      </c>
    </row>
    <row r="31" spans="1:31" ht="13.5">
      <c r="A31" s="229">
        <f t="shared" si="0"/>
        <v>23</v>
      </c>
      <c r="B31" s="136">
        <f>TempsF2Ce!$B28</f>
        <v>20</v>
      </c>
      <c r="C31" s="29" t="str">
        <f>TempsF2Ce!$C28</f>
        <v>LANGWORTH B. / CAMPBELL D.</v>
      </c>
      <c r="D31" s="137">
        <f>TempsF2Ce!$D28</f>
        <v>0</v>
      </c>
      <c r="E31" s="149" t="str">
        <f>TempsF2Ce!$E28</f>
        <v>GBR</v>
      </c>
      <c r="F31" s="257">
        <f t="shared" si="16"/>
        <v>3</v>
      </c>
      <c r="G31" s="262" t="str">
        <f t="shared" si="17"/>
        <v>:</v>
      </c>
      <c r="H31" s="252">
        <f t="shared" si="1"/>
        <v>28.80000000000001</v>
      </c>
      <c r="I31" s="343"/>
      <c r="J31" s="327"/>
      <c r="K31" s="363" t="str">
        <f t="shared" si="4"/>
        <v>DISQ</v>
      </c>
      <c r="L31" s="343">
        <f t="shared" si="5"/>
        <v>3</v>
      </c>
      <c r="M31" s="327" t="str">
        <f t="shared" si="6"/>
        <v>:</v>
      </c>
      <c r="N31" s="140">
        <f t="shared" si="7"/>
        <v>55</v>
      </c>
      <c r="P31" s="257">
        <f t="shared" si="8"/>
        <v>3</v>
      </c>
      <c r="Q31" s="263" t="str">
        <f t="shared" si="9"/>
        <v>:</v>
      </c>
      <c r="R31" s="252">
        <f t="shared" si="10"/>
        <v>28.80000000000001</v>
      </c>
      <c r="X31" s="142">
        <f>TempsF2Ce!X28</f>
        <v>208.8</v>
      </c>
      <c r="Y31" s="142">
        <f>TempsF2Ce!Y28</f>
        <v>1000000</v>
      </c>
      <c r="Z31" s="142">
        <f>TempsF2Ce!Z28</f>
        <v>235</v>
      </c>
      <c r="AA31" s="142">
        <f t="shared" si="11"/>
        <v>208.8</v>
      </c>
      <c r="AB31" s="142">
        <f t="shared" si="12"/>
        <v>235.00000000004655</v>
      </c>
      <c r="AC31" s="142">
        <f t="shared" si="13"/>
        <v>1000000</v>
      </c>
      <c r="AD31" s="91">
        <f t="shared" si="14"/>
        <v>208.8</v>
      </c>
      <c r="AE31" s="91">
        <f t="shared" si="15"/>
        <v>1000000</v>
      </c>
    </row>
    <row r="32" spans="1:31" ht="13.5">
      <c r="A32" s="229">
        <f t="shared" si="0"/>
        <v>24</v>
      </c>
      <c r="B32" s="136">
        <f>TempsF2Ce!$B48</f>
        <v>41</v>
      </c>
      <c r="C32" s="29" t="str">
        <f>TempsF2Ce!$C48</f>
        <v>GUSTAFSSON J. / BJÖHOLM S.</v>
      </c>
      <c r="D32" s="137">
        <f>TempsF2Ce!$D48</f>
        <v>0</v>
      </c>
      <c r="E32" s="149" t="str">
        <f>TempsF2Ce!$E48</f>
        <v>SWE</v>
      </c>
      <c r="F32" s="343">
        <f t="shared" si="16"/>
        <v>3</v>
      </c>
      <c r="G32" s="327" t="str">
        <f t="shared" si="17"/>
        <v>:</v>
      </c>
      <c r="H32" s="140">
        <f t="shared" si="1"/>
        <v>59.5</v>
      </c>
      <c r="I32" s="343">
        <f t="shared" si="2"/>
        <v>3</v>
      </c>
      <c r="J32" s="327" t="str">
        <f t="shared" si="3"/>
        <v>:</v>
      </c>
      <c r="K32" s="140">
        <f t="shared" si="4"/>
        <v>34.599999999999994</v>
      </c>
      <c r="L32" s="257">
        <f t="shared" si="5"/>
        <v>3</v>
      </c>
      <c r="M32" s="262" t="str">
        <f t="shared" si="6"/>
        <v>:</v>
      </c>
      <c r="N32" s="252">
        <f t="shared" si="7"/>
        <v>29.30000000000001</v>
      </c>
      <c r="P32" s="257">
        <f t="shared" si="8"/>
        <v>3</v>
      </c>
      <c r="Q32" s="263" t="str">
        <f t="shared" si="9"/>
        <v>:</v>
      </c>
      <c r="R32" s="252">
        <f t="shared" si="10"/>
        <v>29.30000000000001</v>
      </c>
      <c r="X32" s="142">
        <f>TempsF2Ce!X48</f>
        <v>239.5</v>
      </c>
      <c r="Y32" s="142">
        <f>TempsF2Ce!Y48</f>
        <v>214.6</v>
      </c>
      <c r="Z32" s="142">
        <f>TempsF2Ce!Z48</f>
        <v>209.3</v>
      </c>
      <c r="AA32" s="142">
        <f t="shared" si="11"/>
        <v>209.3</v>
      </c>
      <c r="AB32" s="142">
        <f t="shared" si="12"/>
        <v>214.60000000000008</v>
      </c>
      <c r="AC32" s="142">
        <f t="shared" si="13"/>
        <v>239.5</v>
      </c>
      <c r="AD32" s="91">
        <f t="shared" si="14"/>
        <v>214.6</v>
      </c>
      <c r="AE32" s="91">
        <f t="shared" si="15"/>
        <v>239.5</v>
      </c>
    </row>
    <row r="33" spans="1:31" ht="13.5">
      <c r="A33" s="229">
        <f t="shared" si="0"/>
        <v>25</v>
      </c>
      <c r="B33" s="136">
        <f>TempsF2Ce!$B50</f>
        <v>43</v>
      </c>
      <c r="C33" s="29" t="str">
        <f>TempsF2Ce!$C50</f>
        <v>MUELLER R. / SACCAVINO V.</v>
      </c>
      <c r="D33" s="137">
        <f>TempsF2Ce!$D50</f>
        <v>0</v>
      </c>
      <c r="E33" s="149" t="str">
        <f>TempsF2Ce!$E50</f>
        <v>SUI</v>
      </c>
      <c r="F33" s="257">
        <f t="shared" si="16"/>
        <v>3</v>
      </c>
      <c r="G33" s="262" t="str">
        <f t="shared" si="17"/>
        <v>:</v>
      </c>
      <c r="H33" s="252">
        <f t="shared" si="1"/>
        <v>29.69999999999999</v>
      </c>
      <c r="I33" s="343"/>
      <c r="J33" s="327"/>
      <c r="K33" s="363" t="str">
        <f t="shared" si="4"/>
        <v>DISQ</v>
      </c>
      <c r="L33" s="343"/>
      <c r="M33" s="327"/>
      <c r="N33" s="364">
        <f t="shared" si="7"/>
        <v>36</v>
      </c>
      <c r="P33" s="257">
        <f t="shared" si="8"/>
        <v>3</v>
      </c>
      <c r="Q33" s="263" t="str">
        <f t="shared" si="9"/>
        <v>:</v>
      </c>
      <c r="R33" s="252">
        <f t="shared" si="10"/>
        <v>29.69999999999999</v>
      </c>
      <c r="X33" s="142">
        <f>TempsF2Ce!X50</f>
        <v>209.7</v>
      </c>
      <c r="Y33" s="142">
        <f>TempsF2Ce!Y50</f>
        <v>1000000</v>
      </c>
      <c r="Z33" s="142">
        <f>TempsF2Ce!Z50</f>
        <v>9964</v>
      </c>
      <c r="AA33" s="142">
        <f t="shared" si="11"/>
        <v>209.7</v>
      </c>
      <c r="AB33" s="142">
        <f t="shared" si="12"/>
        <v>9963.999999999953</v>
      </c>
      <c r="AC33" s="142">
        <f t="shared" si="13"/>
        <v>1000000</v>
      </c>
      <c r="AD33" s="91">
        <f t="shared" si="14"/>
        <v>209.7</v>
      </c>
      <c r="AE33" s="91">
        <f t="shared" si="15"/>
        <v>1000000</v>
      </c>
    </row>
    <row r="34" spans="1:31" ht="13.5">
      <c r="A34" s="229">
        <f t="shared" si="0"/>
        <v>26</v>
      </c>
      <c r="B34" s="136">
        <f>TempsF2Ce!$B31</f>
        <v>23</v>
      </c>
      <c r="C34" s="29" t="str">
        <f>TempsF2Ce!$C31</f>
        <v>MOHAI I. / SZVACSEK F.</v>
      </c>
      <c r="D34" s="137">
        <f>TempsF2Ce!$D31</f>
        <v>0</v>
      </c>
      <c r="E34" s="149" t="str">
        <f>TempsF2Ce!$E31</f>
        <v>HUN</v>
      </c>
      <c r="F34" s="343"/>
      <c r="G34" s="327"/>
      <c r="H34" s="364">
        <f t="shared" si="1"/>
        <v>84</v>
      </c>
      <c r="I34" s="343">
        <f t="shared" si="2"/>
        <v>3</v>
      </c>
      <c r="J34" s="327" t="str">
        <f t="shared" si="3"/>
        <v>:</v>
      </c>
      <c r="K34" s="140">
        <f t="shared" si="4"/>
        <v>38</v>
      </c>
      <c r="L34" s="257">
        <f t="shared" si="5"/>
        <v>3</v>
      </c>
      <c r="M34" s="262" t="str">
        <f t="shared" si="6"/>
        <v>:</v>
      </c>
      <c r="N34" s="252">
        <f t="shared" si="7"/>
        <v>30</v>
      </c>
      <c r="P34" s="257">
        <f t="shared" si="8"/>
        <v>3</v>
      </c>
      <c r="Q34" s="263" t="str">
        <f t="shared" si="9"/>
        <v>:</v>
      </c>
      <c r="R34" s="252">
        <f t="shared" si="10"/>
        <v>30</v>
      </c>
      <c r="X34" s="142">
        <f>TempsF2Ce!X31</f>
        <v>9916</v>
      </c>
      <c r="Y34" s="142">
        <f>TempsF2Ce!Y31</f>
        <v>218</v>
      </c>
      <c r="Z34" s="142">
        <f>TempsF2Ce!Z31</f>
        <v>210</v>
      </c>
      <c r="AA34" s="142">
        <f t="shared" si="11"/>
        <v>210</v>
      </c>
      <c r="AB34" s="142">
        <f t="shared" si="12"/>
        <v>218</v>
      </c>
      <c r="AC34" s="142">
        <f t="shared" si="13"/>
        <v>9916</v>
      </c>
      <c r="AD34" s="91">
        <f t="shared" si="14"/>
        <v>218</v>
      </c>
      <c r="AE34" s="91">
        <f t="shared" si="15"/>
        <v>9916</v>
      </c>
    </row>
    <row r="35" spans="1:31" ht="13.5">
      <c r="A35" s="229">
        <f t="shared" si="0"/>
        <v>27</v>
      </c>
      <c r="B35" s="136">
        <f>TempsF2Ce!$B40</f>
        <v>33</v>
      </c>
      <c r="C35" s="29" t="str">
        <f>TempsF2Ce!$C40</f>
        <v>SURKOV O. / BALEZINE V.</v>
      </c>
      <c r="D35" s="137">
        <f>TempsF2Ce!$D40</f>
        <v>0</v>
      </c>
      <c r="E35" s="149" t="str">
        <f>TempsF2Ce!$E40</f>
        <v>RUS</v>
      </c>
      <c r="F35" s="343"/>
      <c r="G35" s="327"/>
      <c r="H35" s="363" t="str">
        <f t="shared" si="1"/>
        <v>DISQ</v>
      </c>
      <c r="I35" s="343">
        <f t="shared" si="2"/>
        <v>4</v>
      </c>
      <c r="J35" s="327" t="str">
        <f t="shared" si="3"/>
        <v>:</v>
      </c>
      <c r="K35" s="140">
        <f t="shared" si="4"/>
        <v>4.900000000000006</v>
      </c>
      <c r="L35" s="257">
        <f t="shared" si="5"/>
        <v>3</v>
      </c>
      <c r="M35" s="262" t="str">
        <f t="shared" si="6"/>
        <v>:</v>
      </c>
      <c r="N35" s="252">
        <f t="shared" si="7"/>
        <v>32.400000000000006</v>
      </c>
      <c r="P35" s="257">
        <f t="shared" si="8"/>
        <v>3</v>
      </c>
      <c r="Q35" s="263" t="str">
        <f t="shared" si="9"/>
        <v>:</v>
      </c>
      <c r="R35" s="252">
        <f t="shared" si="10"/>
        <v>32.400000000000006</v>
      </c>
      <c r="X35" s="142">
        <f>TempsF2Ce!X40</f>
        <v>1000000</v>
      </c>
      <c r="Y35" s="142">
        <f>TempsF2Ce!Y40</f>
        <v>244.9</v>
      </c>
      <c r="Z35" s="142">
        <f>TempsF2Ce!Z40</f>
        <v>212.4</v>
      </c>
      <c r="AA35" s="142">
        <f t="shared" si="11"/>
        <v>212.4</v>
      </c>
      <c r="AB35" s="142">
        <f t="shared" si="12"/>
        <v>244.90000000004656</v>
      </c>
      <c r="AC35" s="142">
        <f t="shared" si="13"/>
        <v>1000000</v>
      </c>
      <c r="AD35" s="91">
        <f t="shared" si="14"/>
        <v>244.9</v>
      </c>
      <c r="AE35" s="91">
        <f t="shared" si="15"/>
        <v>1000000</v>
      </c>
    </row>
    <row r="36" spans="1:31" ht="13.5">
      <c r="A36" s="229">
        <f t="shared" si="0"/>
        <v>28</v>
      </c>
      <c r="B36" s="136">
        <f>TempsF2Ce!$B11</f>
        <v>3</v>
      </c>
      <c r="C36" s="29" t="str">
        <f>TempsF2Ce!$C11</f>
        <v>JUSTIC R. / OWEN R.</v>
      </c>
      <c r="D36" s="137">
        <f>TempsF2Ce!$D11</f>
        <v>0</v>
      </c>
      <c r="E36" s="149" t="str">
        <f>TempsF2Ce!$E11</f>
        <v>AUS</v>
      </c>
      <c r="F36" s="343"/>
      <c r="G36" s="327"/>
      <c r="H36" s="363" t="str">
        <f t="shared" si="1"/>
        <v>DISQ</v>
      </c>
      <c r="I36" s="257">
        <f t="shared" si="2"/>
        <v>3</v>
      </c>
      <c r="J36" s="262" t="str">
        <f t="shared" si="3"/>
        <v>:</v>
      </c>
      <c r="K36" s="252">
        <f t="shared" si="4"/>
        <v>34.19999999999999</v>
      </c>
      <c r="L36" s="343">
        <f t="shared" si="5"/>
        <v>3</v>
      </c>
      <c r="M36" s="327" t="str">
        <f t="shared" si="6"/>
        <v>:</v>
      </c>
      <c r="N36" s="140">
        <f t="shared" si="7"/>
        <v>47.400000000000006</v>
      </c>
      <c r="P36" s="257">
        <f t="shared" si="8"/>
        <v>3</v>
      </c>
      <c r="Q36" s="263" t="str">
        <f t="shared" si="9"/>
        <v>:</v>
      </c>
      <c r="R36" s="252">
        <f t="shared" si="10"/>
        <v>34.19999999999999</v>
      </c>
      <c r="X36" s="142">
        <f>TempsF2Ce!X11</f>
        <v>1000000</v>
      </c>
      <c r="Y36" s="142">
        <f>TempsF2Ce!Y11</f>
        <v>214.2</v>
      </c>
      <c r="Z36" s="142">
        <f>TempsF2Ce!Z11</f>
        <v>227.4</v>
      </c>
      <c r="AA36" s="142">
        <f t="shared" si="11"/>
        <v>214.2</v>
      </c>
      <c r="AB36" s="142">
        <f t="shared" si="12"/>
        <v>227.39999999997673</v>
      </c>
      <c r="AC36" s="142">
        <f t="shared" si="13"/>
        <v>1000000</v>
      </c>
      <c r="AD36" s="91">
        <f t="shared" si="14"/>
        <v>214.2</v>
      </c>
      <c r="AE36" s="91">
        <f t="shared" si="15"/>
        <v>1000000</v>
      </c>
    </row>
    <row r="37" spans="1:31" ht="13.5">
      <c r="A37" s="229">
        <f t="shared" si="0"/>
        <v>29</v>
      </c>
      <c r="B37" s="136">
        <f>TempsF2Ce!$B18</f>
        <v>10</v>
      </c>
      <c r="C37" s="29" t="str">
        <f>TempsF2Ce!$C18</f>
        <v>BARRAGAN A. / BARRAGAN J.</v>
      </c>
      <c r="D37" s="137">
        <f>TempsF2Ce!$D18</f>
        <v>0</v>
      </c>
      <c r="E37" s="149" t="str">
        <f>TempsF2Ce!$E18</f>
        <v>ESP</v>
      </c>
      <c r="F37" s="257">
        <f t="shared" si="16"/>
        <v>3</v>
      </c>
      <c r="G37" s="262" t="str">
        <f t="shared" si="17"/>
        <v>:</v>
      </c>
      <c r="H37" s="252">
        <f t="shared" si="1"/>
        <v>36.400000000000006</v>
      </c>
      <c r="I37" s="343">
        <f t="shared" si="2"/>
        <v>4</v>
      </c>
      <c r="J37" s="327" t="str">
        <f t="shared" si="3"/>
        <v>:</v>
      </c>
      <c r="K37" s="140">
        <f t="shared" si="4"/>
        <v>13.800000000000011</v>
      </c>
      <c r="L37" s="343">
        <f t="shared" si="5"/>
        <v>3</v>
      </c>
      <c r="M37" s="327" t="str">
        <f t="shared" si="6"/>
        <v>:</v>
      </c>
      <c r="N37" s="140">
        <f t="shared" si="7"/>
        <v>55.80000000000001</v>
      </c>
      <c r="P37" s="257">
        <f t="shared" si="8"/>
        <v>3</v>
      </c>
      <c r="Q37" s="263" t="str">
        <f t="shared" si="9"/>
        <v>:</v>
      </c>
      <c r="R37" s="252">
        <f t="shared" si="10"/>
        <v>36.400000000000006</v>
      </c>
      <c r="X37" s="142">
        <f>TempsF2Ce!X18</f>
        <v>216.4</v>
      </c>
      <c r="Y37" s="142">
        <f>TempsF2Ce!Y18</f>
        <v>253.8</v>
      </c>
      <c r="Z37" s="142">
        <f>TempsF2Ce!Z18</f>
        <v>235.8</v>
      </c>
      <c r="AA37" s="142">
        <f t="shared" si="11"/>
        <v>216.4</v>
      </c>
      <c r="AB37" s="142">
        <f t="shared" si="12"/>
        <v>235.79999999999998</v>
      </c>
      <c r="AC37" s="142">
        <f t="shared" si="13"/>
        <v>253.8</v>
      </c>
      <c r="AD37" s="91">
        <f t="shared" si="14"/>
        <v>216.4</v>
      </c>
      <c r="AE37" s="91">
        <f t="shared" si="15"/>
        <v>253.8</v>
      </c>
    </row>
    <row r="38" spans="1:31" ht="13.5">
      <c r="A38" s="229">
        <f t="shared" si="0"/>
        <v>30</v>
      </c>
      <c r="B38" s="136">
        <f>TempsF2Ce!$B20</f>
        <v>12</v>
      </c>
      <c r="C38" s="29" t="str">
        <f>TempsF2Ce!$C20</f>
        <v>LOPEZ J. / DEL HOYO C. </v>
      </c>
      <c r="D38" s="137">
        <f>TempsF2Ce!$D20</f>
        <v>0</v>
      </c>
      <c r="E38" s="149" t="str">
        <f>TempsF2Ce!$E20</f>
        <v>ESP</v>
      </c>
      <c r="F38" s="343">
        <f t="shared" si="16"/>
        <v>3</v>
      </c>
      <c r="G38" s="327" t="str">
        <f t="shared" si="17"/>
        <v>:</v>
      </c>
      <c r="H38" s="140">
        <f t="shared" si="1"/>
        <v>51.30000000000001</v>
      </c>
      <c r="I38" s="257">
        <f t="shared" si="2"/>
        <v>3</v>
      </c>
      <c r="J38" s="262" t="str">
        <f t="shared" si="3"/>
        <v>:</v>
      </c>
      <c r="K38" s="252">
        <f t="shared" si="4"/>
        <v>38.400000000000006</v>
      </c>
      <c r="L38" s="343">
        <f t="shared" si="5"/>
        <v>4</v>
      </c>
      <c r="M38" s="327" t="str">
        <f t="shared" si="6"/>
        <v>:</v>
      </c>
      <c r="N38" s="140">
        <f t="shared" si="7"/>
        <v>17.69999999999999</v>
      </c>
      <c r="P38" s="257">
        <f t="shared" si="8"/>
        <v>3</v>
      </c>
      <c r="Q38" s="263" t="str">
        <f t="shared" si="9"/>
        <v>:</v>
      </c>
      <c r="R38" s="252">
        <f t="shared" si="10"/>
        <v>38.400000000000006</v>
      </c>
      <c r="X38" s="142">
        <f>TempsF2Ce!X20</f>
        <v>231.3</v>
      </c>
      <c r="Y38" s="142">
        <f>TempsF2Ce!Y20</f>
        <v>218.4</v>
      </c>
      <c r="Z38" s="142">
        <f>TempsF2Ce!Z20</f>
        <v>257.7</v>
      </c>
      <c r="AA38" s="142">
        <f t="shared" si="11"/>
        <v>218.4</v>
      </c>
      <c r="AB38" s="142">
        <f t="shared" si="12"/>
        <v>231.3000000000001</v>
      </c>
      <c r="AC38" s="142">
        <f t="shared" si="13"/>
        <v>257.7</v>
      </c>
      <c r="AD38" s="91">
        <f t="shared" si="14"/>
        <v>218.4</v>
      </c>
      <c r="AE38" s="91">
        <f t="shared" si="15"/>
        <v>231.3</v>
      </c>
    </row>
    <row r="39" spans="1:31" ht="13.5">
      <c r="A39" s="229">
        <f t="shared" si="0"/>
        <v>31</v>
      </c>
      <c r="B39" s="136">
        <f>TempsF2Ce!$B26</f>
        <v>18</v>
      </c>
      <c r="C39" s="29" t="str">
        <f>TempsF2Ce!$C26</f>
        <v>MARSCHALL H./ KUCKELKORN F.</v>
      </c>
      <c r="D39" s="137">
        <f>TempsF2Ce!$D26</f>
        <v>0</v>
      </c>
      <c r="E39" s="149" t="str">
        <f>TempsF2Ce!$E26</f>
        <v>GER</v>
      </c>
      <c r="F39" s="343"/>
      <c r="G39" s="327"/>
      <c r="H39" s="364">
        <f t="shared" si="1"/>
        <v>26</v>
      </c>
      <c r="I39" s="257">
        <f t="shared" si="2"/>
        <v>3</v>
      </c>
      <c r="J39" s="262" t="str">
        <f t="shared" si="3"/>
        <v>:</v>
      </c>
      <c r="K39" s="252">
        <f t="shared" si="4"/>
        <v>43.19999999999999</v>
      </c>
      <c r="L39" s="343">
        <f t="shared" si="5"/>
        <v>3</v>
      </c>
      <c r="M39" s="327" t="str">
        <f t="shared" si="6"/>
        <v>:</v>
      </c>
      <c r="N39" s="140">
        <f t="shared" si="7"/>
        <v>47.19999999999999</v>
      </c>
      <c r="P39" s="257">
        <f t="shared" si="8"/>
        <v>3</v>
      </c>
      <c r="Q39" s="263" t="str">
        <f t="shared" si="9"/>
        <v>:</v>
      </c>
      <c r="R39" s="252">
        <f t="shared" si="10"/>
        <v>43.19999999999999</v>
      </c>
      <c r="X39" s="142">
        <f>TempsF2Ce!X26</f>
        <v>9974</v>
      </c>
      <c r="Y39" s="142">
        <f>TempsF2Ce!Y26</f>
        <v>223.2</v>
      </c>
      <c r="Z39" s="142">
        <f>TempsF2Ce!Z26</f>
        <v>227.2</v>
      </c>
      <c r="AA39" s="142">
        <f t="shared" si="11"/>
        <v>223.2</v>
      </c>
      <c r="AB39" s="142">
        <f t="shared" si="12"/>
        <v>227.20000000000147</v>
      </c>
      <c r="AC39" s="142">
        <f t="shared" si="13"/>
        <v>9974</v>
      </c>
      <c r="AD39" s="91">
        <f t="shared" si="14"/>
        <v>223.2</v>
      </c>
      <c r="AE39" s="91">
        <f t="shared" si="15"/>
        <v>9974</v>
      </c>
    </row>
    <row r="40" spans="1:31" ht="13.5">
      <c r="A40" s="229">
        <f aca="true" t="shared" si="18" ref="A40:A57">ROW(A40)-ROW(A$8)</f>
        <v>32</v>
      </c>
      <c r="B40" s="136">
        <f>TempsF2Ce!$B51</f>
        <v>44</v>
      </c>
      <c r="C40" s="29" t="str">
        <f>TempsF2Ce!$C51</f>
        <v>GIGER P. / STUDER H.</v>
      </c>
      <c r="D40" s="137">
        <f>TempsF2Ce!$D51</f>
        <v>0</v>
      </c>
      <c r="E40" s="149" t="str">
        <f>TempsF2Ce!$E51</f>
        <v>SUI</v>
      </c>
      <c r="F40" s="343"/>
      <c r="G40" s="327"/>
      <c r="H40" s="363" t="str">
        <f t="shared" si="1"/>
        <v>DISQ</v>
      </c>
      <c r="I40" s="257">
        <f t="shared" si="2"/>
        <v>3</v>
      </c>
      <c r="J40" s="262" t="str">
        <f t="shared" si="3"/>
        <v>:</v>
      </c>
      <c r="K40" s="252">
        <f t="shared" si="4"/>
        <v>45.400000000000006</v>
      </c>
      <c r="L40" s="343">
        <f t="shared" si="5"/>
        <v>3</v>
      </c>
      <c r="M40" s="327" t="str">
        <f t="shared" si="6"/>
        <v>:</v>
      </c>
      <c r="N40" s="140">
        <f t="shared" si="7"/>
        <v>56.80000000000001</v>
      </c>
      <c r="P40" s="257">
        <f t="shared" si="8"/>
        <v>3</v>
      </c>
      <c r="Q40" s="263" t="str">
        <f t="shared" si="9"/>
        <v>:</v>
      </c>
      <c r="R40" s="252">
        <f t="shared" si="10"/>
        <v>45.400000000000006</v>
      </c>
      <c r="X40" s="142">
        <f>TempsF2Ce!X51</f>
        <v>1000000</v>
      </c>
      <c r="Y40" s="142">
        <f>TempsF2Ce!Y51</f>
        <v>225.4</v>
      </c>
      <c r="Z40" s="142">
        <f>TempsF2Ce!Z51</f>
        <v>236.8</v>
      </c>
      <c r="AA40" s="142">
        <f t="shared" si="11"/>
        <v>225.4</v>
      </c>
      <c r="AB40" s="142">
        <f t="shared" si="12"/>
        <v>236.80000000006984</v>
      </c>
      <c r="AC40" s="142">
        <f t="shared" si="13"/>
        <v>1000000</v>
      </c>
      <c r="AD40" s="91">
        <f t="shared" si="14"/>
        <v>225.4</v>
      </c>
      <c r="AE40" s="91">
        <f t="shared" si="15"/>
        <v>1000000</v>
      </c>
    </row>
    <row r="41" spans="1:31" ht="13.5">
      <c r="A41" s="229">
        <f t="shared" si="18"/>
        <v>33</v>
      </c>
      <c r="B41" s="136">
        <f>TempsF2Ce!$B25</f>
        <v>17</v>
      </c>
      <c r="C41" s="29" t="str">
        <f>TempsF2Ce!$C25</f>
        <v>LINDEMANN R. / KIEL U.</v>
      </c>
      <c r="D41" s="137">
        <f>TempsF2Ce!$D25</f>
        <v>0</v>
      </c>
      <c r="E41" s="149" t="str">
        <f>TempsF2Ce!$E25</f>
        <v>GER</v>
      </c>
      <c r="F41" s="343"/>
      <c r="G41" s="327"/>
      <c r="H41" s="364">
        <f t="shared" si="1"/>
        <v>31</v>
      </c>
      <c r="I41" s="343"/>
      <c r="J41" s="327"/>
      <c r="K41" s="363" t="str">
        <f t="shared" si="4"/>
        <v>DISQ</v>
      </c>
      <c r="L41" s="257">
        <f t="shared" si="5"/>
        <v>3</v>
      </c>
      <c r="M41" s="262" t="str">
        <f t="shared" si="6"/>
        <v>:</v>
      </c>
      <c r="N41" s="252">
        <f t="shared" si="7"/>
        <v>46.5</v>
      </c>
      <c r="P41" s="257">
        <f t="shared" si="8"/>
        <v>3</v>
      </c>
      <c r="Q41" s="263" t="str">
        <f t="shared" si="9"/>
        <v>:</v>
      </c>
      <c r="R41" s="252">
        <f t="shared" si="10"/>
        <v>46.5</v>
      </c>
      <c r="X41" s="142">
        <f>TempsF2Ce!X25</f>
        <v>9969</v>
      </c>
      <c r="Y41" s="142">
        <f>TempsF2Ce!Y25</f>
        <v>1000000</v>
      </c>
      <c r="Z41" s="142">
        <f>TempsF2Ce!Z25</f>
        <v>226.5</v>
      </c>
      <c r="AA41" s="142">
        <f t="shared" si="11"/>
        <v>226.5</v>
      </c>
      <c r="AB41" s="142">
        <f t="shared" si="12"/>
        <v>9969</v>
      </c>
      <c r="AC41" s="142">
        <f t="shared" si="13"/>
        <v>1000000</v>
      </c>
      <c r="AD41" s="91">
        <f t="shared" si="14"/>
        <v>9969</v>
      </c>
      <c r="AE41" s="91">
        <f t="shared" si="15"/>
        <v>1000000</v>
      </c>
    </row>
    <row r="42" spans="1:31" ht="13.5">
      <c r="A42" s="229">
        <f t="shared" si="18"/>
        <v>34</v>
      </c>
      <c r="B42" s="136">
        <f>TempsF2Ce!$B47</f>
        <v>40</v>
      </c>
      <c r="C42" s="29" t="str">
        <f>TempsF2Ce!$C47</f>
        <v>SAMUELSSON B. O. / AXTILIUS K.</v>
      </c>
      <c r="D42" s="137">
        <f>TempsF2Ce!$D47</f>
        <v>0</v>
      </c>
      <c r="E42" s="149" t="str">
        <f>TempsF2Ce!$E47</f>
        <v>SWE</v>
      </c>
      <c r="F42" s="343"/>
      <c r="G42" s="327"/>
      <c r="H42" s="364">
        <f t="shared" si="1"/>
        <v>33</v>
      </c>
      <c r="I42" s="257">
        <f t="shared" si="2"/>
        <v>3</v>
      </c>
      <c r="J42" s="262" t="str">
        <f t="shared" si="3"/>
        <v>:</v>
      </c>
      <c r="K42" s="252">
        <f t="shared" si="4"/>
        <v>47.19999999999999</v>
      </c>
      <c r="L42" s="343">
        <f t="shared" si="5"/>
        <v>4</v>
      </c>
      <c r="M42" s="327" t="str">
        <f t="shared" si="6"/>
        <v>:</v>
      </c>
      <c r="N42" s="140">
        <f t="shared" si="7"/>
        <v>45.10000000000002</v>
      </c>
      <c r="P42" s="257">
        <f t="shared" si="8"/>
        <v>3</v>
      </c>
      <c r="Q42" s="263" t="str">
        <f t="shared" si="9"/>
        <v>:</v>
      </c>
      <c r="R42" s="252">
        <f t="shared" si="10"/>
        <v>47.19999999999999</v>
      </c>
      <c r="X42" s="142">
        <f>TempsF2Ce!X47</f>
        <v>9967</v>
      </c>
      <c r="Y42" s="142">
        <f>TempsF2Ce!Y47</f>
        <v>227.2</v>
      </c>
      <c r="Z42" s="142">
        <f>TempsF2Ce!Z47</f>
        <v>285.1</v>
      </c>
      <c r="AA42" s="142">
        <f t="shared" si="11"/>
        <v>227.2</v>
      </c>
      <c r="AB42" s="142">
        <f t="shared" si="12"/>
        <v>285.1000000000011</v>
      </c>
      <c r="AC42" s="142">
        <f t="shared" si="13"/>
        <v>9967</v>
      </c>
      <c r="AD42" s="91">
        <f t="shared" si="14"/>
        <v>227.2</v>
      </c>
      <c r="AE42" s="91">
        <f t="shared" si="15"/>
        <v>9967</v>
      </c>
    </row>
    <row r="43" spans="1:31" ht="13.5">
      <c r="A43" s="229">
        <f t="shared" si="18"/>
        <v>35</v>
      </c>
      <c r="B43" s="136">
        <f>TempsF2Ce!$B12</f>
        <v>4</v>
      </c>
      <c r="C43" s="29" t="str">
        <f>TempsF2Ce!$C12</f>
        <v>WILSON G. / STEIN P.</v>
      </c>
      <c r="D43" s="137">
        <f>TempsF2Ce!$D12</f>
        <v>0</v>
      </c>
      <c r="E43" s="149" t="str">
        <f>TempsF2Ce!$E12</f>
        <v>AUS</v>
      </c>
      <c r="F43" s="257">
        <f t="shared" si="16"/>
        <v>3</v>
      </c>
      <c r="G43" s="262" t="str">
        <f t="shared" si="17"/>
        <v>:</v>
      </c>
      <c r="H43" s="252">
        <f t="shared" si="1"/>
        <v>47.900000000000006</v>
      </c>
      <c r="I43" s="343"/>
      <c r="J43" s="327"/>
      <c r="K43" s="364">
        <f t="shared" si="4"/>
        <v>6</v>
      </c>
      <c r="L43" s="343">
        <f t="shared" si="5"/>
        <v>4</v>
      </c>
      <c r="M43" s="327" t="str">
        <f t="shared" si="6"/>
        <v>:</v>
      </c>
      <c r="N43" s="140">
        <f t="shared" si="7"/>
        <v>11.099999999999994</v>
      </c>
      <c r="P43" s="257">
        <f t="shared" si="8"/>
        <v>3</v>
      </c>
      <c r="Q43" s="263" t="str">
        <f t="shared" si="9"/>
        <v>:</v>
      </c>
      <c r="R43" s="252">
        <f t="shared" si="10"/>
        <v>47.900000000000006</v>
      </c>
      <c r="X43" s="142">
        <f>TempsF2Ce!X12</f>
        <v>227.9</v>
      </c>
      <c r="Y43" s="142">
        <f>TempsF2Ce!Y12</f>
        <v>9994</v>
      </c>
      <c r="Z43" s="142">
        <f>TempsF2Ce!Z12</f>
        <v>251.1</v>
      </c>
      <c r="AA43" s="142">
        <f t="shared" si="11"/>
        <v>227.9</v>
      </c>
      <c r="AB43" s="142">
        <f t="shared" si="12"/>
        <v>251.1</v>
      </c>
      <c r="AC43" s="142">
        <f t="shared" si="13"/>
        <v>9994</v>
      </c>
      <c r="AD43" s="91">
        <f t="shared" si="14"/>
        <v>227.9</v>
      </c>
      <c r="AE43" s="91">
        <f t="shared" si="15"/>
        <v>9994</v>
      </c>
    </row>
    <row r="44" spans="1:31" ht="13.5">
      <c r="A44" s="229">
        <f t="shared" si="18"/>
        <v>36</v>
      </c>
      <c r="B44" s="136">
        <f>TempsF2Ce!$B14</f>
        <v>6</v>
      </c>
      <c r="C44" s="29" t="str">
        <f>TempsF2Ce!$C14</f>
        <v>NITSCHE H. / NITSCHE H.</v>
      </c>
      <c r="D44" s="137">
        <f>TempsF2Ce!$D14</f>
        <v>0</v>
      </c>
      <c r="E44" s="149" t="str">
        <f>TempsF2Ce!$E14</f>
        <v>AUT</v>
      </c>
      <c r="F44" s="343"/>
      <c r="G44" s="327"/>
      <c r="H44" s="364">
        <f t="shared" si="1"/>
        <v>66</v>
      </c>
      <c r="I44" s="343"/>
      <c r="J44" s="327"/>
      <c r="K44" s="363" t="str">
        <f t="shared" si="4"/>
        <v>DISQ</v>
      </c>
      <c r="L44" s="257">
        <f t="shared" si="5"/>
        <v>3</v>
      </c>
      <c r="M44" s="262" t="str">
        <f t="shared" si="6"/>
        <v>:</v>
      </c>
      <c r="N44" s="252">
        <f t="shared" si="7"/>
        <v>53.80000000000001</v>
      </c>
      <c r="P44" s="257">
        <f t="shared" si="8"/>
        <v>3</v>
      </c>
      <c r="Q44" s="263" t="str">
        <f t="shared" si="9"/>
        <v>:</v>
      </c>
      <c r="R44" s="252">
        <f t="shared" si="10"/>
        <v>53.80000000000001</v>
      </c>
      <c r="X44" s="142">
        <f>TempsF2Ce!X14</f>
        <v>9934</v>
      </c>
      <c r="Y44" s="142">
        <f>TempsF2Ce!Y14</f>
        <v>1000000</v>
      </c>
      <c r="Z44" s="142">
        <f>TempsF2Ce!Z14</f>
        <v>233.8</v>
      </c>
      <c r="AA44" s="142">
        <f t="shared" si="11"/>
        <v>233.8</v>
      </c>
      <c r="AB44" s="142">
        <f t="shared" si="12"/>
        <v>9934.000000000047</v>
      </c>
      <c r="AC44" s="142">
        <f t="shared" si="13"/>
        <v>1000000</v>
      </c>
      <c r="AD44" s="91">
        <f t="shared" si="14"/>
        <v>9934</v>
      </c>
      <c r="AE44" s="91">
        <f t="shared" si="15"/>
        <v>1000000</v>
      </c>
    </row>
    <row r="45" spans="1:31" ht="13.5">
      <c r="A45" s="229">
        <f t="shared" si="18"/>
        <v>37</v>
      </c>
      <c r="B45" s="136">
        <f>TempsF2Ce!$B30</f>
        <v>22</v>
      </c>
      <c r="C45" s="29" t="str">
        <f>TempsF2Ce!$C30</f>
        <v>ORVOS F. / NAGY Z.</v>
      </c>
      <c r="D45" s="137">
        <f>TempsF2Ce!$D30</f>
        <v>0</v>
      </c>
      <c r="E45" s="149" t="str">
        <f>TempsF2Ce!$E30</f>
        <v>HUN</v>
      </c>
      <c r="F45" s="257">
        <f t="shared" si="16"/>
        <v>3</v>
      </c>
      <c r="G45" s="262" t="str">
        <f t="shared" si="17"/>
        <v>:</v>
      </c>
      <c r="H45" s="252">
        <f t="shared" si="1"/>
        <v>55.099999999999994</v>
      </c>
      <c r="I45" s="343"/>
      <c r="J45" s="327"/>
      <c r="K45" s="364">
        <f t="shared" si="4"/>
        <v>71</v>
      </c>
      <c r="L45" s="343"/>
      <c r="M45" s="327"/>
      <c r="N45" s="363" t="str">
        <f t="shared" si="7"/>
        <v>DISQ</v>
      </c>
      <c r="P45" s="257">
        <f t="shared" si="8"/>
        <v>3</v>
      </c>
      <c r="Q45" s="263" t="str">
        <f t="shared" si="9"/>
        <v>:</v>
      </c>
      <c r="R45" s="252">
        <f t="shared" si="10"/>
        <v>55.099999999999994</v>
      </c>
      <c r="X45" s="142">
        <f>TempsF2Ce!X30</f>
        <v>235.1</v>
      </c>
      <c r="Y45" s="142">
        <f>TempsF2Ce!Y30</f>
        <v>9929</v>
      </c>
      <c r="Z45" s="142">
        <f>TempsF2Ce!Z30</f>
        <v>1000000</v>
      </c>
      <c r="AA45" s="142">
        <f t="shared" si="11"/>
        <v>235.1</v>
      </c>
      <c r="AB45" s="142">
        <f t="shared" si="12"/>
        <v>9928.999999999976</v>
      </c>
      <c r="AC45" s="142">
        <f t="shared" si="13"/>
        <v>1000000</v>
      </c>
      <c r="AD45" s="91">
        <f t="shared" si="14"/>
        <v>235.1</v>
      </c>
      <c r="AE45" s="91">
        <f t="shared" si="15"/>
        <v>9929</v>
      </c>
    </row>
    <row r="46" spans="1:31" ht="13.5">
      <c r="A46" s="229">
        <f t="shared" si="18"/>
        <v>38</v>
      </c>
      <c r="B46" s="136">
        <f>TempsF2Ce!$B24</f>
        <v>16</v>
      </c>
      <c r="C46" s="29" t="str">
        <f>TempsF2Ce!$C24</f>
        <v>BUCCI L. / PERRET C.</v>
      </c>
      <c r="D46" s="137" t="str">
        <f>TempsF2Ce!$D24</f>
        <v>Jun</v>
      </c>
      <c r="E46" s="149" t="str">
        <f>TempsF2Ce!$E24</f>
        <v>FRA</v>
      </c>
      <c r="F46" s="343"/>
      <c r="G46" s="327"/>
      <c r="H46" s="364">
        <f t="shared" si="1"/>
        <v>19</v>
      </c>
      <c r="I46" s="257">
        <f t="shared" si="2"/>
        <v>3</v>
      </c>
      <c r="J46" s="262" t="str">
        <f t="shared" si="3"/>
        <v>:</v>
      </c>
      <c r="K46" s="252">
        <f t="shared" si="4"/>
        <v>55.19999999999999</v>
      </c>
      <c r="L46" s="343">
        <f t="shared" si="5"/>
        <v>4</v>
      </c>
      <c r="M46" s="327" t="str">
        <f t="shared" si="6"/>
        <v>:</v>
      </c>
      <c r="N46" s="140">
        <f t="shared" si="7"/>
        <v>14</v>
      </c>
      <c r="P46" s="257">
        <f t="shared" si="8"/>
        <v>3</v>
      </c>
      <c r="Q46" s="263" t="str">
        <f t="shared" si="9"/>
        <v>:</v>
      </c>
      <c r="R46" s="252">
        <f t="shared" si="10"/>
        <v>55.19999999999999</v>
      </c>
      <c r="X46" s="142">
        <f>TempsF2Ce!X24</f>
        <v>9981</v>
      </c>
      <c r="Y46" s="142">
        <f>TempsF2Ce!Y24</f>
        <v>235.2</v>
      </c>
      <c r="Z46" s="142">
        <f>TempsF2Ce!Z24</f>
        <v>254</v>
      </c>
      <c r="AA46" s="142">
        <f t="shared" si="11"/>
        <v>235.2</v>
      </c>
      <c r="AB46" s="142">
        <f t="shared" si="12"/>
        <v>254.00000000000074</v>
      </c>
      <c r="AC46" s="142">
        <f t="shared" si="13"/>
        <v>9981</v>
      </c>
      <c r="AD46" s="91">
        <f t="shared" si="14"/>
        <v>235.2</v>
      </c>
      <c r="AE46" s="91">
        <f t="shared" si="15"/>
        <v>9981</v>
      </c>
    </row>
    <row r="47" spans="1:31" ht="13.5">
      <c r="A47" s="229">
        <f t="shared" si="18"/>
        <v>39</v>
      </c>
      <c r="B47" s="136">
        <f>TempsF2Ce!$B16</f>
        <v>8</v>
      </c>
      <c r="C47" s="29" t="str">
        <f>TempsF2Ce!$C16</f>
        <v>FAIREY R. / FAIREY B. </v>
      </c>
      <c r="D47" s="137">
        <f>TempsF2Ce!$D16</f>
        <v>0</v>
      </c>
      <c r="E47" s="149" t="str">
        <f>TempsF2Ce!$E16</f>
        <v>CAN</v>
      </c>
      <c r="F47" s="343"/>
      <c r="G47" s="327"/>
      <c r="H47" s="364">
        <f t="shared" si="1"/>
        <v>67</v>
      </c>
      <c r="I47" s="257">
        <f t="shared" si="2"/>
        <v>3</v>
      </c>
      <c r="J47" s="262" t="str">
        <f t="shared" si="3"/>
        <v>:</v>
      </c>
      <c r="K47" s="252">
        <f t="shared" si="4"/>
        <v>56.900000000000006</v>
      </c>
      <c r="L47" s="343"/>
      <c r="M47" s="327"/>
      <c r="N47" s="364">
        <f t="shared" si="7"/>
      </c>
      <c r="P47" s="257">
        <f t="shared" si="8"/>
        <v>3</v>
      </c>
      <c r="Q47" s="263" t="str">
        <f t="shared" si="9"/>
        <v>:</v>
      </c>
      <c r="R47" s="252">
        <f t="shared" si="10"/>
        <v>56.900000000000006</v>
      </c>
      <c r="X47" s="142">
        <f>TempsF2Ce!X16</f>
        <v>9933</v>
      </c>
      <c r="Y47" s="142">
        <f>TempsF2Ce!Y16</f>
        <v>236.9</v>
      </c>
      <c r="Z47" s="142">
        <f>TempsF2Ce!Z16</f>
      </c>
      <c r="AA47" s="142">
        <f t="shared" si="11"/>
        <v>236.9</v>
      </c>
      <c r="AB47" s="142">
        <f t="shared" si="12"/>
        <v>-3.694822225952521E-13</v>
      </c>
      <c r="AC47" s="142">
        <f t="shared" si="13"/>
        <v>9933</v>
      </c>
      <c r="AD47" s="91">
        <f t="shared" si="14"/>
        <v>236.9</v>
      </c>
      <c r="AE47" s="91">
        <f t="shared" si="15"/>
        <v>9933</v>
      </c>
    </row>
    <row r="48" spans="1:31" ht="13.5">
      <c r="A48" s="229">
        <f t="shared" si="18"/>
        <v>40</v>
      </c>
      <c r="B48" s="136">
        <f>TempsF2Ce!$B37</f>
        <v>30</v>
      </c>
      <c r="C48" s="29" t="str">
        <f>TempsF2Ce!$C37</f>
        <v>CONTENTE A. / SECO F.</v>
      </c>
      <c r="D48" s="137">
        <f>TempsF2Ce!$D37</f>
        <v>0</v>
      </c>
      <c r="E48" s="149" t="str">
        <f>TempsF2Ce!$E37</f>
        <v>POR</v>
      </c>
      <c r="F48" s="257">
        <f t="shared" si="16"/>
        <v>3</v>
      </c>
      <c r="G48" s="262" t="str">
        <f t="shared" si="17"/>
        <v>:</v>
      </c>
      <c r="H48" s="252">
        <f t="shared" si="1"/>
        <v>57.19999999999999</v>
      </c>
      <c r="I48" s="343">
        <f t="shared" si="2"/>
        <v>4</v>
      </c>
      <c r="J48" s="327" t="str">
        <f t="shared" si="3"/>
        <v>:</v>
      </c>
      <c r="K48" s="140">
        <f t="shared" si="4"/>
        <v>9.699999999999989</v>
      </c>
      <c r="L48" s="343">
        <f t="shared" si="5"/>
        <v>3</v>
      </c>
      <c r="M48" s="327" t="str">
        <f t="shared" si="6"/>
        <v>:</v>
      </c>
      <c r="N48" s="140">
        <f t="shared" si="7"/>
        <v>57.30000000000001</v>
      </c>
      <c r="P48" s="257">
        <f t="shared" si="8"/>
        <v>3</v>
      </c>
      <c r="Q48" s="263" t="str">
        <f t="shared" si="9"/>
        <v>:</v>
      </c>
      <c r="R48" s="252">
        <f t="shared" si="10"/>
        <v>57.19999999999999</v>
      </c>
      <c r="X48" s="142">
        <f>TempsF2Ce!X37</f>
        <v>237.2</v>
      </c>
      <c r="Y48" s="142">
        <f>TempsF2Ce!Y37</f>
        <v>249.7</v>
      </c>
      <c r="Z48" s="142">
        <f>TempsF2Ce!Z37</f>
        <v>237.3</v>
      </c>
      <c r="AA48" s="142">
        <f t="shared" si="11"/>
        <v>237.2</v>
      </c>
      <c r="AB48" s="142">
        <f t="shared" si="12"/>
        <v>237.30000000000007</v>
      </c>
      <c r="AC48" s="142">
        <f t="shared" si="13"/>
        <v>249.7</v>
      </c>
      <c r="AD48" s="91">
        <f t="shared" si="14"/>
        <v>237.2</v>
      </c>
      <c r="AE48" s="91">
        <f t="shared" si="15"/>
        <v>249.7</v>
      </c>
    </row>
    <row r="49" spans="1:31" ht="13.5">
      <c r="A49" s="229">
        <f t="shared" si="18"/>
        <v>41</v>
      </c>
      <c r="B49" s="136">
        <f>TempsF2Ce!$B44</f>
        <v>37</v>
      </c>
      <c r="C49" s="29" t="str">
        <f>TempsF2Ce!$C44</f>
        <v>ONG R. / SU D.</v>
      </c>
      <c r="D49" s="137">
        <f>TempsF2Ce!$D44</f>
        <v>0</v>
      </c>
      <c r="E49" s="149" t="str">
        <f>TempsF2Ce!$E44</f>
        <v>SIN</v>
      </c>
      <c r="F49" s="343"/>
      <c r="G49" s="327"/>
      <c r="H49" s="364">
        <f t="shared" si="1"/>
        <v>36</v>
      </c>
      <c r="I49" s="343"/>
      <c r="J49" s="327"/>
      <c r="K49" s="364">
        <f t="shared" si="4"/>
        <v>34</v>
      </c>
      <c r="L49" s="257">
        <f t="shared" si="5"/>
        <v>4</v>
      </c>
      <c r="M49" s="262" t="str">
        <f t="shared" si="6"/>
        <v>:</v>
      </c>
      <c r="N49" s="252">
        <f t="shared" si="7"/>
        <v>5</v>
      </c>
      <c r="P49" s="257">
        <f t="shared" si="8"/>
        <v>4</v>
      </c>
      <c r="Q49" s="263" t="str">
        <f t="shared" si="9"/>
        <v>:</v>
      </c>
      <c r="R49" s="252">
        <f t="shared" si="10"/>
        <v>5</v>
      </c>
      <c r="X49" s="142">
        <f>TempsF2Ce!X44</f>
        <v>9964</v>
      </c>
      <c r="Y49" s="142">
        <f>TempsF2Ce!Y44</f>
        <v>9966</v>
      </c>
      <c r="Z49" s="142">
        <f>TempsF2Ce!Z44</f>
        <v>245</v>
      </c>
      <c r="AA49" s="142">
        <f t="shared" si="11"/>
        <v>245</v>
      </c>
      <c r="AB49" s="142">
        <f t="shared" si="12"/>
        <v>9964</v>
      </c>
      <c r="AC49" s="142">
        <f t="shared" si="13"/>
        <v>9966</v>
      </c>
      <c r="AD49" s="91">
        <f t="shared" si="14"/>
        <v>9964</v>
      </c>
      <c r="AE49" s="91">
        <f t="shared" si="15"/>
        <v>9966</v>
      </c>
    </row>
    <row r="50" spans="1:31" ht="13.5">
      <c r="A50" s="229">
        <f t="shared" si="18"/>
        <v>42</v>
      </c>
      <c r="B50" s="136">
        <f>TempsF2Ce!$B42</f>
        <v>35</v>
      </c>
      <c r="C50" s="29" t="str">
        <f>TempsF2Ce!$C42</f>
        <v>USTINOV D. / ORESHKINE A.</v>
      </c>
      <c r="D50" s="137" t="str">
        <f>TempsF2Ce!$D42</f>
        <v>Jun</v>
      </c>
      <c r="E50" s="149" t="str">
        <f>TempsF2Ce!$E42</f>
        <v>RUS</v>
      </c>
      <c r="F50" s="343"/>
      <c r="G50" s="327"/>
      <c r="H50" s="363" t="str">
        <f t="shared" si="1"/>
        <v>DISQ</v>
      </c>
      <c r="I50" s="343"/>
      <c r="J50" s="327"/>
      <c r="K50" s="363" t="str">
        <f t="shared" si="4"/>
        <v>DISQ</v>
      </c>
      <c r="L50" s="257">
        <f t="shared" si="5"/>
        <v>4</v>
      </c>
      <c r="M50" s="262" t="str">
        <f t="shared" si="6"/>
        <v>:</v>
      </c>
      <c r="N50" s="252">
        <f t="shared" si="7"/>
        <v>8.800000000000011</v>
      </c>
      <c r="P50" s="257">
        <f t="shared" si="8"/>
        <v>4</v>
      </c>
      <c r="Q50" s="263" t="str">
        <f t="shared" si="9"/>
        <v>:</v>
      </c>
      <c r="R50" s="252">
        <f t="shared" si="10"/>
        <v>8.800000000000011</v>
      </c>
      <c r="X50" s="142">
        <f>TempsF2Ce!X42</f>
        <v>1000000</v>
      </c>
      <c r="Y50" s="142">
        <f>TempsF2Ce!Y42</f>
        <v>1000000</v>
      </c>
      <c r="Z50" s="142">
        <f>TempsF2Ce!Z42</f>
        <v>248.8</v>
      </c>
      <c r="AA50" s="142">
        <f t="shared" si="11"/>
        <v>248.8</v>
      </c>
      <c r="AB50" s="142">
        <f t="shared" si="12"/>
        <v>1000000</v>
      </c>
      <c r="AC50" s="142">
        <f t="shared" si="13"/>
        <v>1000000</v>
      </c>
      <c r="AD50" s="91">
        <f t="shared" si="14"/>
        <v>1000000</v>
      </c>
      <c r="AE50" s="91">
        <f t="shared" si="15"/>
        <v>1000000</v>
      </c>
    </row>
    <row r="51" spans="1:31" ht="13.5">
      <c r="A51" s="229">
        <f t="shared" si="18"/>
        <v>43</v>
      </c>
      <c r="B51" s="136">
        <f>TempsF2Ce!$B57</f>
        <v>51</v>
      </c>
      <c r="C51" s="29" t="str">
        <f>TempsF2Ce!$C57</f>
        <v>WILLOUGHBY S. / OGE B.</v>
      </c>
      <c r="D51" s="137">
        <f>TempsF2Ce!$D57</f>
        <v>0</v>
      </c>
      <c r="E51" s="149" t="str">
        <f>TempsF2Ce!$E57</f>
        <v>USA</v>
      </c>
      <c r="F51" s="343">
        <f t="shared" si="16"/>
        <v>4</v>
      </c>
      <c r="G51" s="327" t="str">
        <f t="shared" si="17"/>
        <v>:</v>
      </c>
      <c r="H51" s="140">
        <f t="shared" si="1"/>
        <v>30.399999999999977</v>
      </c>
      <c r="I51" s="343"/>
      <c r="J51" s="327"/>
      <c r="K51" s="364">
        <f t="shared" si="4"/>
        <v>35</v>
      </c>
      <c r="L51" s="257">
        <f t="shared" si="5"/>
        <v>4</v>
      </c>
      <c r="M51" s="262" t="str">
        <f t="shared" si="6"/>
        <v>:</v>
      </c>
      <c r="N51" s="252">
        <f t="shared" si="7"/>
        <v>9.800000000000011</v>
      </c>
      <c r="P51" s="257">
        <f t="shared" si="8"/>
        <v>4</v>
      </c>
      <c r="Q51" s="263" t="str">
        <f t="shared" si="9"/>
        <v>:</v>
      </c>
      <c r="R51" s="252">
        <f t="shared" si="10"/>
        <v>9.800000000000011</v>
      </c>
      <c r="X51" s="142">
        <f>TempsF2Ce!X57</f>
        <v>270.4</v>
      </c>
      <c r="Y51" s="142">
        <f>TempsF2Ce!Y57</f>
        <v>9965</v>
      </c>
      <c r="Z51" s="142">
        <f>TempsF2Ce!Z57</f>
        <v>249.8</v>
      </c>
      <c r="AA51" s="142">
        <f t="shared" si="11"/>
        <v>249.8</v>
      </c>
      <c r="AB51" s="142">
        <f t="shared" si="12"/>
        <v>270.3999999999989</v>
      </c>
      <c r="AC51" s="142">
        <f t="shared" si="13"/>
        <v>9965</v>
      </c>
      <c r="AD51" s="91">
        <f t="shared" si="14"/>
        <v>270.4</v>
      </c>
      <c r="AE51" s="91">
        <f t="shared" si="15"/>
        <v>9965</v>
      </c>
    </row>
    <row r="52" spans="1:31" ht="13.5">
      <c r="A52" s="229">
        <f t="shared" si="18"/>
        <v>44</v>
      </c>
      <c r="B52" s="136">
        <f>TempsF2Ce!$B17</f>
        <v>9</v>
      </c>
      <c r="C52" s="29" t="str">
        <f>TempsF2Ce!$C17</f>
        <v>JAREBEK J. / PARENT K.</v>
      </c>
      <c r="D52" s="137">
        <f>TempsF2Ce!$D17</f>
        <v>0</v>
      </c>
      <c r="E52" s="149" t="str">
        <f>TempsF2Ce!$E17</f>
        <v>CAN</v>
      </c>
      <c r="F52" s="257">
        <f t="shared" si="16"/>
        <v>4</v>
      </c>
      <c r="G52" s="262" t="str">
        <f t="shared" si="17"/>
        <v>:</v>
      </c>
      <c r="H52" s="252">
        <f t="shared" si="1"/>
        <v>10.300000000000011</v>
      </c>
      <c r="I52" s="343"/>
      <c r="J52" s="327"/>
      <c r="K52" s="363" t="str">
        <f t="shared" si="4"/>
        <v>DISQ</v>
      </c>
      <c r="L52" s="343">
        <f t="shared" si="5"/>
        <v>4</v>
      </c>
      <c r="M52" s="327" t="str">
        <f t="shared" si="6"/>
        <v>:</v>
      </c>
      <c r="N52" s="140">
        <f t="shared" si="7"/>
        <v>45.19999999999999</v>
      </c>
      <c r="P52" s="257">
        <f t="shared" si="8"/>
        <v>4</v>
      </c>
      <c r="Q52" s="263" t="str">
        <f t="shared" si="9"/>
        <v>:</v>
      </c>
      <c r="R52" s="252">
        <f t="shared" si="10"/>
        <v>10.300000000000011</v>
      </c>
      <c r="X52" s="142">
        <f>TempsF2Ce!X17</f>
        <v>250.3</v>
      </c>
      <c r="Y52" s="142">
        <f>TempsF2Ce!Y17</f>
        <v>1000000</v>
      </c>
      <c r="Z52" s="142">
        <f>TempsF2Ce!Z17</f>
        <v>285.2</v>
      </c>
      <c r="AA52" s="142">
        <f t="shared" si="11"/>
        <v>250.3</v>
      </c>
      <c r="AB52" s="142">
        <f t="shared" si="12"/>
        <v>285.2</v>
      </c>
      <c r="AC52" s="142">
        <f t="shared" si="13"/>
        <v>1000000</v>
      </c>
      <c r="AD52" s="91">
        <f t="shared" si="14"/>
        <v>250.3</v>
      </c>
      <c r="AE52" s="91">
        <f t="shared" si="15"/>
        <v>1000000</v>
      </c>
    </row>
    <row r="53" spans="1:31" ht="13.5">
      <c r="A53" s="229">
        <f t="shared" si="18"/>
        <v>45</v>
      </c>
      <c r="B53" s="136">
        <f>TempsF2Ce!$B45</f>
        <v>38</v>
      </c>
      <c r="C53" s="29" t="str">
        <f>TempsF2Ce!$C45</f>
        <v>SATHA S. / WEE C.</v>
      </c>
      <c r="D53" s="137">
        <f>TempsF2Ce!$D45</f>
        <v>0</v>
      </c>
      <c r="E53" s="149" t="str">
        <f>TempsF2Ce!$E45</f>
        <v>SIN</v>
      </c>
      <c r="F53" s="343"/>
      <c r="G53" s="327"/>
      <c r="H53" s="363" t="str">
        <f t="shared" si="1"/>
        <v>DISQ</v>
      </c>
      <c r="I53" s="257">
        <f t="shared" si="2"/>
        <v>4</v>
      </c>
      <c r="J53" s="262" t="str">
        <f t="shared" si="3"/>
        <v>:</v>
      </c>
      <c r="K53" s="252">
        <f t="shared" si="4"/>
        <v>15.5</v>
      </c>
      <c r="L53" s="343"/>
      <c r="M53" s="327"/>
      <c r="N53" s="363" t="str">
        <f t="shared" si="7"/>
        <v>DISQ</v>
      </c>
      <c r="P53" s="257">
        <f t="shared" si="8"/>
        <v>4</v>
      </c>
      <c r="Q53" s="263" t="str">
        <f t="shared" si="9"/>
        <v>:</v>
      </c>
      <c r="R53" s="252">
        <f t="shared" si="10"/>
        <v>15.5</v>
      </c>
      <c r="X53" s="142">
        <f>TempsF2Ce!X45</f>
        <v>1000000</v>
      </c>
      <c r="Y53" s="142">
        <f>TempsF2Ce!Y45</f>
        <v>255.5</v>
      </c>
      <c r="Z53" s="142">
        <f>TempsF2Ce!Z45</f>
        <v>1000000</v>
      </c>
      <c r="AA53" s="142">
        <f t="shared" si="11"/>
        <v>255.5</v>
      </c>
      <c r="AB53" s="142">
        <f t="shared" si="12"/>
        <v>1000000</v>
      </c>
      <c r="AC53" s="142">
        <f t="shared" si="13"/>
        <v>1000000</v>
      </c>
      <c r="AD53" s="91">
        <f t="shared" si="14"/>
        <v>255.5</v>
      </c>
      <c r="AE53" s="91">
        <f t="shared" si="15"/>
        <v>1000000</v>
      </c>
    </row>
    <row r="54" spans="1:31" ht="13.5">
      <c r="A54" s="229">
        <f t="shared" si="18"/>
        <v>46</v>
      </c>
      <c r="B54" s="136">
        <f>TempsF2Ce!$B46</f>
        <v>39</v>
      </c>
      <c r="C54" s="29" t="str">
        <f>TempsF2Ce!$C46</f>
        <v>LOH P. / CHING M. </v>
      </c>
      <c r="D54" s="137">
        <f>TempsF2Ce!$D46</f>
        <v>0</v>
      </c>
      <c r="E54" s="149" t="str">
        <f>TempsF2Ce!$E46</f>
        <v>SIN</v>
      </c>
      <c r="F54" s="257"/>
      <c r="G54" s="262"/>
      <c r="H54" s="367">
        <f t="shared" si="1"/>
        <v>77</v>
      </c>
      <c r="I54" s="343"/>
      <c r="J54" s="327"/>
      <c r="K54" s="365">
        <f t="shared" si="4"/>
        <v>1</v>
      </c>
      <c r="L54" s="343"/>
      <c r="M54" s="327"/>
      <c r="N54" s="364">
        <f t="shared" si="7"/>
      </c>
      <c r="P54" s="257"/>
      <c r="Q54" s="263"/>
      <c r="R54" s="364">
        <f t="shared" si="10"/>
        <v>77</v>
      </c>
      <c r="X54" s="142">
        <f>TempsF2Ce!X46</f>
        <v>9923</v>
      </c>
      <c r="Y54" s="142">
        <f>TempsF2Ce!Y46</f>
        <v>9999</v>
      </c>
      <c r="Z54" s="142">
        <f>TempsF2Ce!Z46</f>
      </c>
      <c r="AA54" s="142">
        <f t="shared" si="11"/>
        <v>9923</v>
      </c>
      <c r="AB54" s="142">
        <f t="shared" si="12"/>
        <v>0</v>
      </c>
      <c r="AC54" s="142">
        <f t="shared" si="13"/>
        <v>9999</v>
      </c>
      <c r="AD54" s="91">
        <f t="shared" si="14"/>
        <v>9923</v>
      </c>
      <c r="AE54" s="91">
        <f t="shared" si="15"/>
        <v>9999</v>
      </c>
    </row>
    <row r="55" spans="1:31" ht="13.5">
      <c r="A55" s="229">
        <f t="shared" si="18"/>
        <v>47</v>
      </c>
      <c r="B55" s="136">
        <f>TempsF2Ce!$B43</f>
        <v>36</v>
      </c>
      <c r="C55" s="29" t="str">
        <f>TempsF2Ce!$C43</f>
        <v>ABDHUL RAMAN N. / NAJIMUDEEN H.</v>
      </c>
      <c r="D55" s="137" t="str">
        <f>TempsF2Ce!$D43</f>
        <v>Jun</v>
      </c>
      <c r="E55" s="149" t="str">
        <f>TempsF2Ce!$E43</f>
        <v>SIN</v>
      </c>
      <c r="F55" s="343"/>
      <c r="G55" s="327"/>
      <c r="H55" s="364">
        <f t="shared" si="1"/>
        <v>47</v>
      </c>
      <c r="I55" s="343"/>
      <c r="J55" s="327"/>
      <c r="K55" s="363" t="str">
        <f t="shared" si="4"/>
        <v>DISQ</v>
      </c>
      <c r="L55" s="257"/>
      <c r="M55" s="262"/>
      <c r="N55" s="367">
        <f t="shared" si="7"/>
        <v>76</v>
      </c>
      <c r="P55" s="257"/>
      <c r="Q55" s="263"/>
      <c r="R55" s="364">
        <f t="shared" si="10"/>
        <v>76</v>
      </c>
      <c r="X55" s="142">
        <f>TempsF2Ce!X43</f>
        <v>9953</v>
      </c>
      <c r="Y55" s="142">
        <f>TempsF2Ce!Y43</f>
        <v>1000000</v>
      </c>
      <c r="Z55" s="142">
        <f>TempsF2Ce!Z43</f>
        <v>9924</v>
      </c>
      <c r="AA55" s="142">
        <f t="shared" si="11"/>
        <v>9924</v>
      </c>
      <c r="AB55" s="142">
        <f t="shared" si="12"/>
        <v>9953</v>
      </c>
      <c r="AC55" s="142">
        <f t="shared" si="13"/>
        <v>1000000</v>
      </c>
      <c r="AD55" s="91">
        <f t="shared" si="14"/>
        <v>9953</v>
      </c>
      <c r="AE55" s="91">
        <f t="shared" si="15"/>
        <v>1000000</v>
      </c>
    </row>
    <row r="56" spans="1:31" ht="13.5">
      <c r="A56" s="229">
        <f t="shared" si="18"/>
        <v>48</v>
      </c>
      <c r="B56" s="136">
        <f>TempsF2Ce!$B36</f>
        <v>29</v>
      </c>
      <c r="C56" s="29" t="str">
        <f>TempsF2Ce!$C36</f>
        <v>ZUCHOWSKI M. / DABROWSKI K.</v>
      </c>
      <c r="D56" s="137" t="str">
        <f>TempsF2Ce!$D36</f>
        <v>Jun</v>
      </c>
      <c r="E56" s="149" t="str">
        <f>TempsF2Ce!$E36</f>
        <v>POL</v>
      </c>
      <c r="F56" s="343"/>
      <c r="G56" s="327"/>
      <c r="H56" s="363" t="str">
        <f t="shared" si="1"/>
        <v>DISQ</v>
      </c>
      <c r="I56" s="343">
        <f t="shared" si="2"/>
        <v>0</v>
      </c>
      <c r="J56" s="327" t="str">
        <f t="shared" si="3"/>
        <v>:</v>
      </c>
      <c r="K56" s="140">
        <f t="shared" si="4"/>
        <v>0</v>
      </c>
      <c r="L56" s="257"/>
      <c r="M56" s="262"/>
      <c r="N56" s="367">
        <f t="shared" si="7"/>
        <v>56</v>
      </c>
      <c r="P56" s="257"/>
      <c r="Q56" s="263"/>
      <c r="R56" s="364">
        <f t="shared" si="10"/>
        <v>56</v>
      </c>
      <c r="X56" s="142">
        <f>TempsF2Ce!X36</f>
        <v>1000000</v>
      </c>
      <c r="Y56" s="142">
        <f>TempsF2Ce!Y36</f>
        <v>10000</v>
      </c>
      <c r="Z56" s="142">
        <f>TempsF2Ce!Z36</f>
        <v>9944</v>
      </c>
      <c r="AA56" s="142">
        <f t="shared" si="11"/>
        <v>9944</v>
      </c>
      <c r="AB56" s="142">
        <f t="shared" si="12"/>
        <v>10000</v>
      </c>
      <c r="AC56" s="142">
        <f t="shared" si="13"/>
        <v>1000000</v>
      </c>
      <c r="AD56" s="91">
        <f t="shared" si="14"/>
        <v>10000</v>
      </c>
      <c r="AE56" s="91">
        <f t="shared" si="15"/>
        <v>1000000</v>
      </c>
    </row>
    <row r="57" spans="1:31" ht="13.5">
      <c r="A57" s="229">
        <f t="shared" si="18"/>
        <v>49</v>
      </c>
      <c r="B57" s="136">
        <f>TempsF2Ce!$B56</f>
        <v>50</v>
      </c>
      <c r="C57" s="29" t="str">
        <f>TempsF2Ce!$C56</f>
        <v>BALLARD J. / LAMBERT D.</v>
      </c>
      <c r="D57" s="137">
        <f>TempsF2Ce!$D56</f>
        <v>0</v>
      </c>
      <c r="E57" s="149" t="str">
        <f>TempsF2Ce!$E56</f>
        <v>USA</v>
      </c>
      <c r="F57" s="343"/>
      <c r="G57" s="327"/>
      <c r="H57" s="363" t="str">
        <f t="shared" si="1"/>
        <v>DISQ</v>
      </c>
      <c r="I57" s="257">
        <f t="shared" si="2"/>
        <v>0</v>
      </c>
      <c r="J57" s="262" t="str">
        <f t="shared" si="3"/>
        <v>:</v>
      </c>
      <c r="K57" s="252">
        <f t="shared" si="4"/>
        <v>0</v>
      </c>
      <c r="L57" s="343"/>
      <c r="M57" s="327"/>
      <c r="N57" s="364">
        <f t="shared" si="7"/>
        <v>0</v>
      </c>
      <c r="P57" s="257">
        <f t="shared" si="8"/>
        <v>0</v>
      </c>
      <c r="Q57" s="263" t="str">
        <f t="shared" si="9"/>
        <v>:</v>
      </c>
      <c r="R57" s="252">
        <f t="shared" si="10"/>
        <v>0</v>
      </c>
      <c r="X57" s="142">
        <f>TempsF2Ce!X56</f>
        <v>1000000</v>
      </c>
      <c r="Y57" s="142">
        <f>TempsF2Ce!Y56</f>
        <v>10000</v>
      </c>
      <c r="Z57" s="142">
        <f>TempsF2Ce!Z56</f>
        <v>10000</v>
      </c>
      <c r="AA57" s="142">
        <f t="shared" si="11"/>
        <v>10000</v>
      </c>
      <c r="AB57" s="142">
        <f t="shared" si="12"/>
        <v>10000</v>
      </c>
      <c r="AC57" s="142">
        <f t="shared" si="13"/>
        <v>1000000</v>
      </c>
      <c r="AD57" s="91">
        <f t="shared" si="14"/>
        <v>10000</v>
      </c>
      <c r="AE57" s="91">
        <f t="shared" si="15"/>
        <v>1000000</v>
      </c>
    </row>
    <row r="58" spans="1:31" ht="13.5" hidden="1">
      <c r="A58" s="228"/>
      <c r="B58" s="313"/>
      <c r="C58" s="31"/>
      <c r="D58" s="274"/>
      <c r="E58" s="314"/>
      <c r="F58" s="289"/>
      <c r="G58" s="274"/>
      <c r="H58" s="315"/>
      <c r="I58" s="289"/>
      <c r="J58" s="274"/>
      <c r="K58" s="315"/>
      <c r="L58" s="289"/>
      <c r="M58" s="274"/>
      <c r="N58" s="291"/>
      <c r="P58" s="261"/>
      <c r="Q58" s="311"/>
      <c r="R58" s="312"/>
      <c r="X58" s="142"/>
      <c r="Y58" s="142"/>
      <c r="Z58" s="142"/>
      <c r="AA58" s="142"/>
      <c r="AB58" s="142"/>
      <c r="AC58" s="142"/>
      <c r="AD58" s="91"/>
      <c r="AE58" s="91"/>
    </row>
    <row r="59" spans="1:18" ht="12.75">
      <c r="A59" s="4"/>
      <c r="B59" s="144"/>
      <c r="C59" s="4"/>
      <c r="D59" s="145"/>
      <c r="E59" s="143"/>
      <c r="F59" s="117"/>
      <c r="G59" s="118"/>
      <c r="H59" s="146"/>
      <c r="I59" s="117"/>
      <c r="J59" s="118"/>
      <c r="K59" s="146"/>
      <c r="L59" s="117"/>
      <c r="M59" s="118"/>
      <c r="N59" s="146"/>
      <c r="P59" s="255"/>
      <c r="Q59" s="248"/>
      <c r="R59" s="253"/>
    </row>
  </sheetData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69"/>
  <sheetViews>
    <sheetView workbookViewId="0" topLeftCell="A1">
      <selection activeCell="X24" sqref="X24"/>
    </sheetView>
  </sheetViews>
  <sheetFormatPr defaultColWidth="9.140625" defaultRowHeight="12.75"/>
  <cols>
    <col min="1" max="1" width="2.421875" style="0" customWidth="1"/>
    <col min="2" max="2" width="4.8515625" style="22" customWidth="1"/>
    <col min="3" max="3" width="33.140625" style="1" customWidth="1"/>
    <col min="4" max="4" width="5.140625" style="90" customWidth="1"/>
    <col min="5" max="5" width="8.8515625" style="2" customWidth="1"/>
    <col min="6" max="6" width="2.28125" style="162" customWidth="1"/>
    <col min="7" max="7" width="1.7109375" style="160" customWidth="1"/>
    <col min="8" max="8" width="6.7109375" style="161" customWidth="1"/>
    <col min="9" max="9" width="2.28125" style="162" customWidth="1"/>
    <col min="10" max="10" width="1.7109375" style="160" customWidth="1"/>
    <col min="11" max="11" width="6.7109375" style="161" customWidth="1"/>
    <col min="12" max="12" width="2.7109375" style="162" customWidth="1"/>
    <col min="13" max="13" width="1.7109375" style="160" customWidth="1"/>
    <col min="14" max="14" width="7.7109375" style="161" customWidth="1"/>
    <col min="15" max="15" width="10.7109375" style="94" customWidth="1"/>
    <col min="16" max="16" width="6.7109375" style="94" customWidth="1"/>
    <col min="17" max="22" width="3.7109375" style="94" customWidth="1"/>
    <col min="23" max="23" width="3.7109375" style="0" customWidth="1"/>
    <col min="24" max="24" width="10.7109375" style="148" customWidth="1"/>
    <col min="25" max="25" width="11.421875" style="0" customWidth="1"/>
    <col min="26" max="29" width="3.7109375" style="0" customWidth="1"/>
    <col min="30" max="30" width="9.7109375" style="0" customWidth="1"/>
    <col min="31" max="16384" width="11.421875" style="0" customWidth="1"/>
  </cols>
  <sheetData>
    <row r="1" spans="5:28" ht="3" customHeight="1">
      <c r="E1" s="299"/>
      <c r="F1" s="330"/>
      <c r="G1" s="92"/>
      <c r="H1" s="93"/>
      <c r="I1" s="91"/>
      <c r="J1" s="92"/>
      <c r="K1" s="93"/>
      <c r="L1" s="91"/>
      <c r="M1" s="92"/>
      <c r="N1" s="93"/>
      <c r="O1" s="239"/>
      <c r="P1" s="329"/>
      <c r="Q1" s="331"/>
      <c r="R1" s="245"/>
      <c r="S1"/>
      <c r="T1"/>
      <c r="U1"/>
      <c r="V1"/>
      <c r="X1" s="150"/>
      <c r="Z1" s="95"/>
      <c r="AB1" s="329"/>
    </row>
    <row r="2" spans="2:26" s="335" customFormat="1" ht="15.75" customHeight="1">
      <c r="B2" s="332"/>
      <c r="C2" s="333" t="s">
        <v>91</v>
      </c>
      <c r="D2" s="334"/>
      <c r="E2" s="299"/>
      <c r="F2" s="330"/>
      <c r="L2" s="336"/>
      <c r="M2" s="337"/>
      <c r="N2" s="338"/>
      <c r="O2" s="339"/>
      <c r="P2" s="299">
        <v>16</v>
      </c>
      <c r="Q2" s="330" t="s">
        <v>92</v>
      </c>
      <c r="R2" s="340"/>
      <c r="X2" s="341"/>
      <c r="Z2" s="342"/>
    </row>
    <row r="3" spans="5:24" ht="3" customHeight="1">
      <c r="E3" s="3"/>
      <c r="F3" s="91"/>
      <c r="G3" s="92"/>
      <c r="H3" s="93"/>
      <c r="I3" s="91"/>
      <c r="J3" s="92"/>
      <c r="K3" s="103"/>
      <c r="L3" s="91"/>
      <c r="M3" s="92"/>
      <c r="N3" s="93"/>
      <c r="O3" s="240"/>
      <c r="P3" s="254"/>
      <c r="Q3" s="244"/>
      <c r="R3" s="245"/>
      <c r="S3"/>
      <c r="T3"/>
      <c r="U3"/>
      <c r="V3"/>
      <c r="X3"/>
    </row>
    <row r="4" spans="2:24" ht="3" customHeight="1">
      <c r="B4" s="35"/>
      <c r="C4"/>
      <c r="E4" s="89"/>
      <c r="F4" s="91"/>
      <c r="G4" s="21"/>
      <c r="H4" s="105"/>
      <c r="I4" s="91"/>
      <c r="J4" s="21"/>
      <c r="K4" s="105"/>
      <c r="L4" s="91"/>
      <c r="M4" s="21"/>
      <c r="N4" s="105"/>
      <c r="O4" s="240"/>
      <c r="P4" s="254"/>
      <c r="Q4" s="246"/>
      <c r="R4" s="247"/>
      <c r="S4"/>
      <c r="T4"/>
      <c r="U4"/>
      <c r="V4"/>
      <c r="X4"/>
    </row>
    <row r="5" spans="2:24" ht="12.75">
      <c r="B5" s="35"/>
      <c r="C5" s="328"/>
      <c r="E5" s="89"/>
      <c r="F5" s="91"/>
      <c r="G5" s="21"/>
      <c r="H5" s="105"/>
      <c r="I5" s="91"/>
      <c r="J5" s="21"/>
      <c r="K5" s="105"/>
      <c r="L5" s="91"/>
      <c r="M5" s="21"/>
      <c r="N5" s="105"/>
      <c r="X5"/>
    </row>
    <row r="6" spans="2:24" ht="3" customHeight="1">
      <c r="B6" s="225"/>
      <c r="C6" s="112"/>
      <c r="D6" s="113"/>
      <c r="E6" s="113"/>
      <c r="F6" s="117"/>
      <c r="G6" s="118"/>
      <c r="H6" s="119"/>
      <c r="I6" s="117"/>
      <c r="J6" s="118"/>
      <c r="K6" s="119"/>
      <c r="L6" s="152"/>
      <c r="M6" s="118"/>
      <c r="N6" s="119"/>
      <c r="O6" s="120"/>
      <c r="P6" s="120"/>
      <c r="Q6" s="120"/>
      <c r="R6" s="120"/>
      <c r="S6" s="120"/>
      <c r="T6" s="120"/>
      <c r="U6" s="120"/>
      <c r="V6" s="120"/>
      <c r="X6"/>
    </row>
    <row r="7" spans="2:30" ht="13.5">
      <c r="B7" s="25" t="s">
        <v>4</v>
      </c>
      <c r="C7" s="6" t="s">
        <v>5</v>
      </c>
      <c r="D7" s="123"/>
      <c r="E7" s="7" t="s">
        <v>3</v>
      </c>
      <c r="F7" s="127"/>
      <c r="G7" s="125" t="s">
        <v>93</v>
      </c>
      <c r="H7" s="126"/>
      <c r="I7" s="124"/>
      <c r="J7" s="125" t="s">
        <v>94</v>
      </c>
      <c r="K7" s="126"/>
      <c r="L7" s="153"/>
      <c r="M7" s="125" t="s">
        <v>95</v>
      </c>
      <c r="N7" s="126"/>
      <c r="O7" s="128"/>
      <c r="P7" s="128"/>
      <c r="Q7" s="128"/>
      <c r="R7" s="128"/>
      <c r="S7" s="128"/>
      <c r="T7" s="128"/>
      <c r="U7" s="128"/>
      <c r="V7" s="128"/>
      <c r="X7" s="2" t="s">
        <v>96</v>
      </c>
      <c r="Y7" s="2" t="s">
        <v>97</v>
      </c>
      <c r="Z7" s="2"/>
      <c r="AA7" s="2"/>
      <c r="AB7" s="2"/>
      <c r="AC7" s="2"/>
      <c r="AD7" s="2" t="s">
        <v>98</v>
      </c>
    </row>
    <row r="8" spans="2:26" ht="3" customHeight="1">
      <c r="B8" s="27"/>
      <c r="C8" s="131"/>
      <c r="D8" s="20"/>
      <c r="E8" s="20"/>
      <c r="F8" s="132"/>
      <c r="G8" s="133"/>
      <c r="H8" s="134"/>
      <c r="I8" s="132"/>
      <c r="J8" s="133"/>
      <c r="K8" s="134"/>
      <c r="L8" s="135"/>
      <c r="M8" s="133"/>
      <c r="N8" s="134"/>
      <c r="O8" s="120"/>
      <c r="P8" s="120"/>
      <c r="Q8" s="120"/>
      <c r="R8" s="120"/>
      <c r="S8" s="120"/>
      <c r="T8" s="120"/>
      <c r="U8" s="120"/>
      <c r="V8" s="120"/>
      <c r="X8" s="109"/>
      <c r="Y8" s="109"/>
      <c r="Z8" s="109"/>
    </row>
    <row r="9" spans="2:30" ht="12.75">
      <c r="B9" s="225">
        <f>IF((ROW(A9)-ROW(A$8))&gt;$P$2,"",RésF2CeInd!B14)</f>
        <v>1</v>
      </c>
      <c r="C9" s="370" t="str">
        <f>IF((B9=""),"",VLOOKUP(B9,DosF2C!$B$7:$E$107,2))</f>
        <v>ANDREEV S. / SOBKO S.</v>
      </c>
      <c r="D9" s="113" t="str">
        <f>IF((B9=""),"",VLOOKUP(B9,DosF2C!$B$7:$E$107,3))</f>
        <v>W/CH</v>
      </c>
      <c r="E9" s="300" t="str">
        <f>IF((B9=""),"",VLOOKUP(B9,DosF2C!$B$7:$E$107,4))</f>
        <v>RUS</v>
      </c>
      <c r="F9" s="138"/>
      <c r="G9" s="154"/>
      <c r="H9" s="363" t="s">
        <v>81</v>
      </c>
      <c r="I9" s="138"/>
      <c r="J9" s="154"/>
      <c r="K9" s="363" t="s">
        <v>81</v>
      </c>
      <c r="L9" s="138"/>
      <c r="M9" s="154" t="s">
        <v>80</v>
      </c>
      <c r="N9" s="140"/>
      <c r="O9" s="141"/>
      <c r="P9" s="141"/>
      <c r="Q9" s="141"/>
      <c r="R9" s="141"/>
      <c r="S9" s="141"/>
      <c r="T9" s="141"/>
      <c r="U9" s="141"/>
      <c r="V9" s="141"/>
      <c r="X9" s="142">
        <f aca="true" t="shared" si="0" ref="X9:X24">IF($H9="","",IF(H9="DISQ",1000000,IF(F9=0,(10000-H9),F9*60+H9)))</f>
        <v>1000000</v>
      </c>
      <c r="Y9" s="142">
        <f aca="true" t="shared" si="1" ref="Y9:Y24">IF($K9="","",IF(K9="DISQ",1000000,IF(I9=0,(10000-K9),I9*60+K9)))</f>
        <v>1000000</v>
      </c>
      <c r="Z9" s="142"/>
      <c r="AC9" s="142"/>
      <c r="AD9" s="142">
        <f aca="true" t="shared" si="2" ref="AD9:AD24">IF(N9="","",IF(N9="DISQ",1000000,IF(L9=0,(10000-N9),L9*60+N9)))</f>
      </c>
    </row>
    <row r="10" spans="2:30" ht="12.75">
      <c r="B10" s="280">
        <f>IF((ROW(A10)-ROW(A$8))&gt;$P$2,"",RésF2CeInd!B13)</f>
        <v>5</v>
      </c>
      <c r="C10" s="301" t="str">
        <f>IF((B10=""),"",VLOOKUP(B10,DosF2C!$B$7:$E$107,2))</f>
        <v>FISCHER J. / STRANIAK H.</v>
      </c>
      <c r="D10" s="281">
        <f>IF((B10=""),"",VLOOKUP(B10,DosF2C!$B$7:$E$107,3))</f>
        <v>0</v>
      </c>
      <c r="E10" s="302" t="str">
        <f>IF((B10=""),"",VLOOKUP(B10,DosF2C!$B$7:$E$107,4))</f>
        <v>AUT</v>
      </c>
      <c r="F10" s="138">
        <v>3</v>
      </c>
      <c r="G10" s="154" t="s">
        <v>80</v>
      </c>
      <c r="H10" s="140">
        <v>16.6</v>
      </c>
      <c r="I10" s="138">
        <v>3</v>
      </c>
      <c r="J10" s="154" t="s">
        <v>80</v>
      </c>
      <c r="K10" s="140">
        <v>14.9</v>
      </c>
      <c r="L10" s="138"/>
      <c r="M10" s="154" t="s">
        <v>80</v>
      </c>
      <c r="N10" s="140"/>
      <c r="O10" s="141"/>
      <c r="P10" s="141"/>
      <c r="Q10" s="141"/>
      <c r="R10" s="141"/>
      <c r="S10" s="141"/>
      <c r="T10" s="141"/>
      <c r="U10" s="141"/>
      <c r="V10" s="141"/>
      <c r="X10" s="142">
        <f t="shared" si="0"/>
        <v>196.6</v>
      </c>
      <c r="Y10" s="142">
        <f t="shared" si="1"/>
        <v>194.9</v>
      </c>
      <c r="Z10" s="142"/>
      <c r="AC10" s="142"/>
      <c r="AD10" s="142">
        <f t="shared" si="2"/>
      </c>
    </row>
    <row r="11" spans="2:30" ht="12.75">
      <c r="B11" s="280">
        <f>IF((ROW(A11)-ROW(A$8))&gt;$P$2,"",RésF2CeInd!B9)</f>
        <v>13</v>
      </c>
      <c r="C11" s="301" t="str">
        <f>IF((B11=""),"",VLOOKUP(B11,DosF2C!$B$7:$E$107,2))</f>
        <v>MARET J. / PERRET J.P.</v>
      </c>
      <c r="D11" s="281">
        <f>IF((B11=""),"",VLOOKUP(B11,DosF2C!$B$7:$E$107,3))</f>
        <v>0</v>
      </c>
      <c r="E11" s="302" t="str">
        <f>IF((B11=""),"",VLOOKUP(B11,DosF2C!$B$7:$E$107,4))</f>
        <v>FRA</v>
      </c>
      <c r="F11" s="138">
        <v>3</v>
      </c>
      <c r="G11" s="154" t="s">
        <v>80</v>
      </c>
      <c r="H11" s="140">
        <v>12.4</v>
      </c>
      <c r="I11" s="138">
        <v>0</v>
      </c>
      <c r="J11" s="154" t="s">
        <v>80</v>
      </c>
      <c r="K11" s="140">
        <v>0</v>
      </c>
      <c r="L11" s="138"/>
      <c r="M11" s="154" t="s">
        <v>80</v>
      </c>
      <c r="N11" s="140"/>
      <c r="O11" s="141"/>
      <c r="P11" s="141"/>
      <c r="Q11" s="141"/>
      <c r="R11" s="141"/>
      <c r="S11" s="141"/>
      <c r="T11" s="141"/>
      <c r="U11" s="141"/>
      <c r="V11" s="141"/>
      <c r="X11" s="142">
        <f>IF($H11="","",IF(H11="DISQ",1000000,IF(F11=0,(10000-H11),F11*60+H11)))</f>
        <v>192.4</v>
      </c>
      <c r="Y11" s="142">
        <f>IF($K11="","",IF(K11="DISQ",1000000,IF(I11=0,(10000-K11),I11*60+K11)))</f>
        <v>10000</v>
      </c>
      <c r="Z11" s="142"/>
      <c r="AC11" s="142"/>
      <c r="AD11" s="142">
        <f>IF(N11="","",IF(N11="DISQ",1000000,IF(L11=0,(10000-N11),L11*60+N11)))</f>
      </c>
    </row>
    <row r="12" spans="2:30" ht="12.75">
      <c r="B12" s="280">
        <f>IF((ROW(A12)-ROW(A$8))&gt;$P$2,"",RésF2CeInd!B21)</f>
        <v>14</v>
      </c>
      <c r="C12" s="301" t="str">
        <f>IF((B12=""),"",VLOOKUP(B12,DosF2C!$B$7:$E$107,2))</f>
        <v>DELOR B. / CONSTANT P.</v>
      </c>
      <c r="D12" s="281">
        <f>IF((B12=""),"",VLOOKUP(B12,DosF2C!$B$7:$E$107,3))</f>
        <v>0</v>
      </c>
      <c r="E12" s="302" t="str">
        <f>IF((B12=""),"",VLOOKUP(B12,DosF2C!$B$7:$E$107,4))</f>
        <v>FRA</v>
      </c>
      <c r="F12" s="138">
        <v>3</v>
      </c>
      <c r="G12" s="154" t="s">
        <v>80</v>
      </c>
      <c r="H12" s="140">
        <v>31.8</v>
      </c>
      <c r="I12" s="138">
        <v>3</v>
      </c>
      <c r="J12" s="154" t="s">
        <v>80</v>
      </c>
      <c r="K12" s="140">
        <v>17.7</v>
      </c>
      <c r="L12" s="138"/>
      <c r="M12" s="154" t="s">
        <v>80</v>
      </c>
      <c r="N12" s="140"/>
      <c r="O12" s="141"/>
      <c r="P12" s="141"/>
      <c r="Q12" s="141"/>
      <c r="R12" s="141"/>
      <c r="S12" s="141"/>
      <c r="T12" s="141"/>
      <c r="U12" s="141"/>
      <c r="V12" s="141"/>
      <c r="X12" s="142">
        <f t="shared" si="0"/>
        <v>211.8</v>
      </c>
      <c r="Y12" s="142">
        <f t="shared" si="1"/>
        <v>197.7</v>
      </c>
      <c r="Z12" s="142"/>
      <c r="AC12" s="142"/>
      <c r="AD12" s="142">
        <f t="shared" si="2"/>
      </c>
    </row>
    <row r="13" spans="2:30" ht="12.75">
      <c r="B13" s="280">
        <f>IF((ROW(A13)-ROW(A$8))&gt;$P$2,"",RésF2CeInd!B17)</f>
        <v>15</v>
      </c>
      <c r="C13" s="301" t="str">
        <f>IF((B13=""),"",VLOOKUP(B13,DosF2C!$B$7:$E$107,2))</f>
        <v>SURUGUE P. / SURUGUE G.</v>
      </c>
      <c r="D13" s="281">
        <f>IF((B13=""),"",VLOOKUP(B13,DosF2C!$B$7:$E$107,3))</f>
        <v>0</v>
      </c>
      <c r="E13" s="302" t="str">
        <f>IF((B13=""),"",VLOOKUP(B13,DosF2C!$B$7:$E$107,4))</f>
        <v>FRA</v>
      </c>
      <c r="F13" s="138">
        <v>3</v>
      </c>
      <c r="G13" s="154" t="s">
        <v>80</v>
      </c>
      <c r="H13" s="140">
        <v>14.1</v>
      </c>
      <c r="I13" s="138">
        <v>3</v>
      </c>
      <c r="J13" s="154" t="s">
        <v>80</v>
      </c>
      <c r="K13" s="140">
        <v>16.2</v>
      </c>
      <c r="L13" s="138"/>
      <c r="M13" s="154" t="s">
        <v>80</v>
      </c>
      <c r="N13" s="140"/>
      <c r="O13" s="141"/>
      <c r="P13" s="141"/>
      <c r="Q13" s="141"/>
      <c r="R13" s="141"/>
      <c r="S13" s="141"/>
      <c r="T13" s="141"/>
      <c r="U13" s="141"/>
      <c r="V13" s="141"/>
      <c r="X13" s="142">
        <f t="shared" si="0"/>
        <v>194.1</v>
      </c>
      <c r="Y13" s="142">
        <f t="shared" si="1"/>
        <v>196.2</v>
      </c>
      <c r="Z13" s="142"/>
      <c r="AC13" s="142"/>
      <c r="AD13" s="142">
        <f t="shared" si="2"/>
      </c>
    </row>
    <row r="14" spans="2:30" ht="12.75">
      <c r="B14" s="280">
        <f>IF((ROW(A14)-ROW(A$8))&gt;$P$2,"",RésF2CeInd!B18)</f>
        <v>19</v>
      </c>
      <c r="C14" s="301" t="str">
        <f>IF((B14=""),"",VLOOKUP(B14,DosF2C!$B$7:$E$107,2))</f>
        <v>ROSS M. / TURNER B.</v>
      </c>
      <c r="D14" s="281">
        <f>IF((B14=""),"",VLOOKUP(B14,DosF2C!$B$7:$E$107,3))</f>
        <v>0</v>
      </c>
      <c r="E14" s="302" t="str">
        <f>IF((B14=""),"",VLOOKUP(B14,DosF2C!$B$7:$E$107,4))</f>
        <v>GBR</v>
      </c>
      <c r="F14" s="138">
        <v>3</v>
      </c>
      <c r="G14" s="154" t="s">
        <v>80</v>
      </c>
      <c r="H14" s="140">
        <v>22</v>
      </c>
      <c r="I14" s="138">
        <v>3</v>
      </c>
      <c r="J14" s="154" t="s">
        <v>80</v>
      </c>
      <c r="K14" s="140">
        <v>26</v>
      </c>
      <c r="L14" s="138"/>
      <c r="M14" s="154" t="s">
        <v>80</v>
      </c>
      <c r="N14" s="140"/>
      <c r="O14" s="141"/>
      <c r="P14" s="141"/>
      <c r="Q14" s="141"/>
      <c r="R14" s="141"/>
      <c r="S14" s="141"/>
      <c r="T14" s="141"/>
      <c r="U14" s="141"/>
      <c r="V14" s="141"/>
      <c r="X14" s="142">
        <f t="shared" si="0"/>
        <v>202</v>
      </c>
      <c r="Y14" s="142">
        <f t="shared" si="1"/>
        <v>206</v>
      </c>
      <c r="Z14" s="142"/>
      <c r="AC14" s="142"/>
      <c r="AD14" s="142">
        <f t="shared" si="2"/>
      </c>
    </row>
    <row r="15" spans="2:30" ht="12.75">
      <c r="B15" s="280">
        <f>IF((ROW(A15)-ROW(A$8))&gt;$P$2,"",RésF2CeInd!B11)</f>
        <v>24</v>
      </c>
      <c r="C15" s="301" t="str">
        <f>IF((B15=""),"",VLOOKUP(B15,DosF2C!$B$7:$E$107,2))</f>
        <v>PENNISI R. / ROSSI A.</v>
      </c>
      <c r="D15" s="281">
        <f>IF((B15=""),"",VLOOKUP(B15,DosF2C!$B$7:$E$107,3))</f>
        <v>0</v>
      </c>
      <c r="E15" s="302" t="str">
        <f>IF((B15=""),"",VLOOKUP(B15,DosF2C!$B$7:$E$107,4))</f>
        <v>ITA</v>
      </c>
      <c r="F15" s="138">
        <v>3</v>
      </c>
      <c r="G15" s="154" t="s">
        <v>80</v>
      </c>
      <c r="H15" s="140">
        <v>46.3</v>
      </c>
      <c r="I15" s="138"/>
      <c r="J15" s="154"/>
      <c r="K15" s="364">
        <v>35</v>
      </c>
      <c r="L15" s="138"/>
      <c r="M15" s="154" t="s">
        <v>80</v>
      </c>
      <c r="N15" s="140"/>
      <c r="O15" s="141"/>
      <c r="P15" s="141"/>
      <c r="Q15" s="141"/>
      <c r="R15" s="141"/>
      <c r="S15" s="141"/>
      <c r="T15" s="141"/>
      <c r="U15" s="141"/>
      <c r="V15" s="141"/>
      <c r="X15" s="142">
        <f t="shared" si="0"/>
        <v>226.3</v>
      </c>
      <c r="Y15" s="142">
        <f t="shared" si="1"/>
        <v>9965</v>
      </c>
      <c r="Z15" s="142"/>
      <c r="AC15" s="142"/>
      <c r="AD15" s="142">
        <f t="shared" si="2"/>
      </c>
    </row>
    <row r="16" spans="2:30" ht="12.75">
      <c r="B16" s="280">
        <f>IF((ROW(A16)-ROW(A$8))&gt;$P$2,"",RésF2CeInd!B20)</f>
        <v>25</v>
      </c>
      <c r="C16" s="301" t="str">
        <f>IF((B16=""),"",VLOOKUP(B16,DosF2C!$B$7:$E$107,2))</f>
        <v>MAGLI M./  PIRAZZINI E.</v>
      </c>
      <c r="D16" s="281">
        <f>IF((B16=""),"",VLOOKUP(B16,DosF2C!$B$7:$E$107,3))</f>
        <v>0</v>
      </c>
      <c r="E16" s="302" t="str">
        <f>IF((B16=""),"",VLOOKUP(B16,DosF2C!$B$7:$E$107,4))</f>
        <v>ITA</v>
      </c>
      <c r="F16" s="138">
        <v>3</v>
      </c>
      <c r="G16" s="154" t="s">
        <v>80</v>
      </c>
      <c r="H16" s="140">
        <v>30.7</v>
      </c>
      <c r="I16" s="138">
        <v>4</v>
      </c>
      <c r="J16" s="154" t="s">
        <v>80</v>
      </c>
      <c r="K16" s="140">
        <v>9.2</v>
      </c>
      <c r="L16" s="138"/>
      <c r="M16" s="154" t="s">
        <v>80</v>
      </c>
      <c r="N16" s="140"/>
      <c r="O16" s="141"/>
      <c r="P16" s="141"/>
      <c r="Q16" s="141"/>
      <c r="R16" s="141"/>
      <c r="S16" s="141"/>
      <c r="T16" s="141"/>
      <c r="U16" s="141"/>
      <c r="V16" s="141"/>
      <c r="X16" s="142">
        <f t="shared" si="0"/>
        <v>210.7</v>
      </c>
      <c r="Y16" s="142">
        <f t="shared" si="1"/>
        <v>249.2</v>
      </c>
      <c r="Z16" s="142"/>
      <c r="AC16" s="142"/>
      <c r="AD16" s="142">
        <f t="shared" si="2"/>
      </c>
    </row>
    <row r="17" spans="2:30" ht="12.75">
      <c r="B17" s="280">
        <f>IF((ROW(A17)-ROW(A$8))&gt;$P$2,"",RésF2CeInd!B19)</f>
        <v>26</v>
      </c>
      <c r="C17" s="301" t="str">
        <f>IF((B17=""),"",VLOOKUP(B17,DosF2C!$B$7:$E$107,2))</f>
        <v>MARTINI G. / MENOZZI M.</v>
      </c>
      <c r="D17" s="281">
        <f>IF((B17=""),"",VLOOKUP(B17,DosF2C!$B$7:$E$107,3))</f>
        <v>0</v>
      </c>
      <c r="E17" s="302" t="str">
        <f>IF((B17=""),"",VLOOKUP(B17,DosF2C!$B$7:$E$107,4))</f>
        <v>ITA</v>
      </c>
      <c r="F17" s="138">
        <v>3</v>
      </c>
      <c r="G17" s="154" t="s">
        <v>80</v>
      </c>
      <c r="H17" s="140">
        <v>27.6</v>
      </c>
      <c r="I17" s="138">
        <v>3</v>
      </c>
      <c r="J17" s="154" t="s">
        <v>80</v>
      </c>
      <c r="K17" s="140">
        <v>22.1</v>
      </c>
      <c r="L17" s="138"/>
      <c r="M17" s="154" t="s">
        <v>80</v>
      </c>
      <c r="N17" s="140"/>
      <c r="O17" s="141"/>
      <c r="P17" s="141"/>
      <c r="Q17" s="141"/>
      <c r="R17" s="141"/>
      <c r="S17" s="141"/>
      <c r="T17" s="141"/>
      <c r="U17" s="141"/>
      <c r="V17" s="141"/>
      <c r="X17" s="142">
        <f t="shared" si="0"/>
        <v>207.6</v>
      </c>
      <c r="Y17" s="142">
        <f t="shared" si="1"/>
        <v>202.1</v>
      </c>
      <c r="Z17" s="142"/>
      <c r="AC17" s="142"/>
      <c r="AD17" s="142">
        <f t="shared" si="2"/>
      </c>
    </row>
    <row r="18" spans="2:30" ht="12.75">
      <c r="B18" s="280">
        <f>IF((ROW(A18)-ROW(A$8))&gt;$P$2,"",RésF2CeInd!B15)</f>
        <v>31</v>
      </c>
      <c r="C18" s="301" t="str">
        <f>IF((B18=""),"",VLOOKUP(B18,DosF2C!$B$7:$E$107,2))</f>
        <v>MORTINHO A. / GOULAO J.</v>
      </c>
      <c r="D18" s="281">
        <f>IF((B18=""),"",VLOOKUP(B18,DosF2C!$B$7:$E$107,3))</f>
        <v>0</v>
      </c>
      <c r="E18" s="302" t="str">
        <f>IF((B18=""),"",VLOOKUP(B18,DosF2C!$B$7:$E$107,4))</f>
        <v>POR</v>
      </c>
      <c r="F18" s="138">
        <v>3</v>
      </c>
      <c r="G18" s="154" t="s">
        <v>80</v>
      </c>
      <c r="H18" s="140">
        <v>19.3</v>
      </c>
      <c r="I18" s="138">
        <v>3</v>
      </c>
      <c r="J18" s="154" t="s">
        <v>80</v>
      </c>
      <c r="K18" s="140">
        <v>37.8</v>
      </c>
      <c r="L18" s="138"/>
      <c r="M18" s="154" t="s">
        <v>80</v>
      </c>
      <c r="N18" s="140"/>
      <c r="O18" s="141"/>
      <c r="P18" s="141"/>
      <c r="Q18" s="141"/>
      <c r="R18" s="141"/>
      <c r="S18" s="141"/>
      <c r="T18" s="141"/>
      <c r="U18" s="141"/>
      <c r="V18" s="141"/>
      <c r="X18" s="142">
        <f t="shared" si="0"/>
        <v>199.3</v>
      </c>
      <c r="Y18" s="142">
        <f t="shared" si="1"/>
        <v>217.8</v>
      </c>
      <c r="Z18" s="142"/>
      <c r="AC18" s="142"/>
      <c r="AD18" s="142">
        <f t="shared" si="2"/>
      </c>
    </row>
    <row r="19" spans="2:30" ht="12.75">
      <c r="B19" s="280">
        <f>IF((ROW(A19)-ROW(A$8))&gt;$P$2,"",RésF2CeInd!B10)</f>
        <v>32</v>
      </c>
      <c r="C19" s="301" t="str">
        <f>IF((B19=""),"",VLOOKUP(B19,DosF2C!$B$7:$E$107,2))</f>
        <v>CHABACHOV J. / MOSKALEEV S.</v>
      </c>
      <c r="D19" s="281">
        <f>IF((B19=""),"",VLOOKUP(B19,DosF2C!$B$7:$E$107,3))</f>
        <v>0</v>
      </c>
      <c r="E19" s="302" t="str">
        <f>IF((B19=""),"",VLOOKUP(B19,DosF2C!$B$7:$E$107,4))</f>
        <v>RUS</v>
      </c>
      <c r="F19" s="138">
        <v>3</v>
      </c>
      <c r="G19" s="154" t="s">
        <v>80</v>
      </c>
      <c r="H19" s="140">
        <v>13</v>
      </c>
      <c r="I19" s="157">
        <v>3</v>
      </c>
      <c r="J19" s="154" t="s">
        <v>80</v>
      </c>
      <c r="K19" s="140">
        <v>35.6</v>
      </c>
      <c r="L19" s="138"/>
      <c r="M19" s="154" t="s">
        <v>80</v>
      </c>
      <c r="N19" s="140"/>
      <c r="O19" s="141"/>
      <c r="P19" s="141"/>
      <c r="Q19" s="141"/>
      <c r="R19" s="141"/>
      <c r="S19" s="141"/>
      <c r="T19" s="141"/>
      <c r="U19" s="141"/>
      <c r="V19" s="141"/>
      <c r="X19" s="142">
        <f t="shared" si="0"/>
        <v>193</v>
      </c>
      <c r="Y19" s="142">
        <f t="shared" si="1"/>
        <v>215.6</v>
      </c>
      <c r="Z19" s="142"/>
      <c r="AC19" s="142"/>
      <c r="AD19" s="142">
        <f t="shared" si="2"/>
      </c>
    </row>
    <row r="20" spans="2:30" ht="12.75">
      <c r="B20" s="280">
        <f>IF((ROW(A20)-ROW(A$8))&gt;$P$2,"",RésF2CeInd!B16)</f>
        <v>34</v>
      </c>
      <c r="C20" s="301" t="str">
        <f>IF((B20=""),"",VLOOKUP(B20,DosF2C!$B$7:$E$107,2))</f>
        <v>TITOV V. / JOUGOV V.</v>
      </c>
      <c r="D20" s="281">
        <f>IF((B20=""),"",VLOOKUP(B20,DosF2C!$B$7:$E$107,3))</f>
        <v>0</v>
      </c>
      <c r="E20" s="302" t="str">
        <f>IF((B20=""),"",VLOOKUP(B20,DosF2C!$B$7:$E$107,4))</f>
        <v>RUS</v>
      </c>
      <c r="F20" s="138">
        <v>3</v>
      </c>
      <c r="G20" s="154" t="s">
        <v>80</v>
      </c>
      <c r="H20" s="140">
        <v>21.3</v>
      </c>
      <c r="I20" s="157"/>
      <c r="J20" s="154"/>
      <c r="K20" s="363" t="s">
        <v>81</v>
      </c>
      <c r="L20" s="138"/>
      <c r="M20" s="154" t="s">
        <v>80</v>
      </c>
      <c r="N20" s="140"/>
      <c r="O20" s="141"/>
      <c r="P20" s="141"/>
      <c r="Q20" s="141"/>
      <c r="R20" s="141"/>
      <c r="S20" s="141"/>
      <c r="T20" s="141"/>
      <c r="U20" s="141"/>
      <c r="V20" s="141"/>
      <c r="X20" s="142">
        <f t="shared" si="0"/>
        <v>201.3</v>
      </c>
      <c r="Y20" s="142">
        <f t="shared" si="1"/>
        <v>1000000</v>
      </c>
      <c r="Z20" s="142"/>
      <c r="AC20" s="142"/>
      <c r="AD20" s="142">
        <f t="shared" si="2"/>
      </c>
    </row>
    <row r="21" spans="2:30" ht="12.75">
      <c r="B21" s="280">
        <f>IF((ROW(A21)-ROW(A$8))&gt;$P$2,"",RésF2CeInd!B12)</f>
        <v>45</v>
      </c>
      <c r="C21" s="301" t="str">
        <f>IF((B21=""),"",VLOOKUP(B21,DosF2C!$B$7:$E$107,2))</f>
        <v>BONDARENKO Y. / LERNER S.</v>
      </c>
      <c r="D21" s="281">
        <f>IF((B21=""),"",VLOOKUP(B21,DosF2C!$B$7:$E$107,3))</f>
        <v>0</v>
      </c>
      <c r="E21" s="302" t="str">
        <f>IF((B21=""),"",VLOOKUP(B21,DosF2C!$B$7:$E$107,4))</f>
        <v>UKR</v>
      </c>
      <c r="F21" s="138">
        <v>3</v>
      </c>
      <c r="G21" s="154" t="s">
        <v>80</v>
      </c>
      <c r="H21" s="140">
        <v>27.7</v>
      </c>
      <c r="I21" s="157">
        <v>3</v>
      </c>
      <c r="J21" s="154" t="s">
        <v>80</v>
      </c>
      <c r="K21" s="140">
        <v>13.5</v>
      </c>
      <c r="L21" s="138"/>
      <c r="M21" s="154" t="s">
        <v>80</v>
      </c>
      <c r="N21" s="140"/>
      <c r="O21" s="141"/>
      <c r="P21" s="141"/>
      <c r="Q21" s="141"/>
      <c r="R21" s="141"/>
      <c r="S21" s="141"/>
      <c r="T21" s="141"/>
      <c r="U21" s="141"/>
      <c r="V21" s="141"/>
      <c r="X21" s="142">
        <f t="shared" si="0"/>
        <v>207.7</v>
      </c>
      <c r="Y21" s="142">
        <f t="shared" si="1"/>
        <v>193.5</v>
      </c>
      <c r="Z21" s="142"/>
      <c r="AC21" s="142"/>
      <c r="AD21" s="142">
        <f t="shared" si="2"/>
      </c>
    </row>
    <row r="22" spans="2:30" ht="12.75">
      <c r="B22" s="280">
        <f>IF((ROW(A22)-ROW(A$8))&gt;$P$2,"",RésF2CeInd!B24)</f>
        <v>46</v>
      </c>
      <c r="C22" s="301" t="str">
        <f>IF((B22=""),"",VLOOKUP(B22,DosF2C!$B$7:$E$107,2))</f>
        <v>BEZMERTNY Y. / FULITKA V.</v>
      </c>
      <c r="D22" s="281">
        <f>IF((B22=""),"",VLOOKUP(B22,DosF2C!$B$7:$E$107,3))</f>
        <v>0</v>
      </c>
      <c r="E22" s="302" t="str">
        <f>IF((B22=""),"",VLOOKUP(B22,DosF2C!$B$7:$E$107,4))</f>
        <v>UKR</v>
      </c>
      <c r="F22" s="138"/>
      <c r="G22" s="154"/>
      <c r="H22" s="364">
        <v>69</v>
      </c>
      <c r="I22" s="157"/>
      <c r="J22" s="154"/>
      <c r="K22" s="364"/>
      <c r="L22" s="138"/>
      <c r="M22" s="154" t="s">
        <v>80</v>
      </c>
      <c r="N22" s="140"/>
      <c r="O22" s="141"/>
      <c r="P22" s="141"/>
      <c r="Q22" s="141"/>
      <c r="R22" s="141"/>
      <c r="S22" s="141"/>
      <c r="T22" s="141"/>
      <c r="U22" s="141"/>
      <c r="V22" s="141"/>
      <c r="X22" s="142">
        <f t="shared" si="0"/>
        <v>9931</v>
      </c>
      <c r="Y22" s="142">
        <f t="shared" si="1"/>
      </c>
      <c r="AD22" s="142"/>
    </row>
    <row r="23" spans="2:30" ht="12.75">
      <c r="B23" s="280">
        <f>IF((ROW(A23)-ROW(A$8))&gt;$P$2,"",RésF2CeInd!B22)</f>
        <v>47</v>
      </c>
      <c r="C23" s="301" t="str">
        <f>IF((B23=""),"",VLOOKUP(B23,DosF2C!$B$7:$E$107,2))</f>
        <v>ZHURAVLYOV V. / SOSNOVSKIY V.</v>
      </c>
      <c r="D23" s="281">
        <f>IF((B23=""),"",VLOOKUP(B23,DosF2C!$B$7:$E$107,3))</f>
        <v>0</v>
      </c>
      <c r="E23" s="302" t="str">
        <f>IF((B23=""),"",VLOOKUP(B23,DosF2C!$B$7:$E$107,4))</f>
        <v>UKR</v>
      </c>
      <c r="F23" s="138"/>
      <c r="G23" s="154"/>
      <c r="H23" s="363" t="s">
        <v>81</v>
      </c>
      <c r="I23" s="157">
        <v>4</v>
      </c>
      <c r="J23" s="154" t="s">
        <v>80</v>
      </c>
      <c r="K23" s="140">
        <v>15.3</v>
      </c>
      <c r="L23" s="286"/>
      <c r="M23" s="307" t="s">
        <v>80</v>
      </c>
      <c r="N23" s="288"/>
      <c r="O23" s="141"/>
      <c r="P23" s="141"/>
      <c r="Q23" s="141"/>
      <c r="R23" s="141"/>
      <c r="S23" s="141"/>
      <c r="T23" s="141"/>
      <c r="U23" s="141"/>
      <c r="V23" s="141"/>
      <c r="X23" s="142">
        <f t="shared" si="0"/>
        <v>1000000</v>
      </c>
      <c r="Y23" s="142">
        <f t="shared" si="1"/>
        <v>255.3</v>
      </c>
      <c r="Z23" s="142"/>
      <c r="AC23" s="142"/>
      <c r="AD23" s="142">
        <f t="shared" si="2"/>
      </c>
    </row>
    <row r="24" spans="2:30" ht="12.75">
      <c r="B24" s="280">
        <f>IF((ROW(A24)-ROW(A$8))&gt;$P$2,"",RésF2CeInd!B23)</f>
        <v>49</v>
      </c>
      <c r="C24" s="301" t="str">
        <f>IF((B24=""),"",VLOOKUP(B24,DosF2C!$B$7:$E$107,2))</f>
        <v>ASCHER A. / ASCHER L.</v>
      </c>
      <c r="D24" s="281">
        <f>IF((B24=""),"",VLOOKUP(B24,DosF2C!$B$7:$E$107,3))</f>
        <v>0</v>
      </c>
      <c r="E24" s="302" t="str">
        <f>IF((B24=""),"",VLOOKUP(B24,DosF2C!$B$7:$E$107,4))</f>
        <v>USA</v>
      </c>
      <c r="F24" s="138">
        <v>3</v>
      </c>
      <c r="G24" s="154" t="s">
        <v>80</v>
      </c>
      <c r="H24" s="140">
        <v>22.5</v>
      </c>
      <c r="I24" s="157"/>
      <c r="J24" s="154"/>
      <c r="K24" s="364"/>
      <c r="L24" s="286"/>
      <c r="M24" s="307" t="s">
        <v>80</v>
      </c>
      <c r="N24" s="288"/>
      <c r="O24" s="141"/>
      <c r="P24" s="141"/>
      <c r="Q24" s="141"/>
      <c r="R24" s="141"/>
      <c r="S24" s="141"/>
      <c r="T24" s="141"/>
      <c r="U24" s="141"/>
      <c r="V24" s="141"/>
      <c r="X24" s="142">
        <f t="shared" si="0"/>
        <v>202.5</v>
      </c>
      <c r="Y24" s="142">
        <f t="shared" si="1"/>
      </c>
      <c r="Z24" s="142"/>
      <c r="AC24" s="142"/>
      <c r="AD24" s="142">
        <f t="shared" si="2"/>
      </c>
    </row>
    <row r="25" spans="2:24" ht="12.75">
      <c r="B25" s="308"/>
      <c r="C25" s="4"/>
      <c r="D25" s="118"/>
      <c r="E25" s="143"/>
      <c r="F25" s="117"/>
      <c r="G25" s="309"/>
      <c r="H25" s="310"/>
      <c r="I25" s="117"/>
      <c r="J25" s="309"/>
      <c r="K25" s="310"/>
      <c r="L25" s="117"/>
      <c r="M25" s="309"/>
      <c r="N25" s="310"/>
      <c r="O25" s="141"/>
      <c r="P25" s="141"/>
      <c r="Q25" s="141"/>
      <c r="R25" s="141"/>
      <c r="S25" s="141"/>
      <c r="T25" s="141"/>
      <c r="U25" s="141"/>
      <c r="V25" s="141"/>
      <c r="X25"/>
    </row>
    <row r="26" spans="3:24" ht="12.75">
      <c r="C26" s="158"/>
      <c r="F26" s="159"/>
      <c r="I26" s="159"/>
      <c r="L26" s="159"/>
      <c r="O26" s="141"/>
      <c r="P26" s="141"/>
      <c r="Q26" s="141"/>
      <c r="R26" s="141"/>
      <c r="S26" s="141"/>
      <c r="T26" s="141"/>
      <c r="U26" s="141"/>
      <c r="V26" s="141"/>
      <c r="X26"/>
    </row>
    <row r="27" spans="3:24" ht="12.75">
      <c r="C27" s="158"/>
      <c r="F27" s="159"/>
      <c r="I27" s="159"/>
      <c r="L27" s="159"/>
      <c r="O27" s="141"/>
      <c r="P27" s="141"/>
      <c r="Q27" s="141"/>
      <c r="R27" s="141"/>
      <c r="S27" s="141"/>
      <c r="T27" s="141"/>
      <c r="U27" s="141"/>
      <c r="V27" s="141"/>
      <c r="X27"/>
    </row>
    <row r="28" spans="3:24" ht="12.75">
      <c r="C28" s="158"/>
      <c r="F28" s="159"/>
      <c r="I28" s="159"/>
      <c r="L28" s="159"/>
      <c r="O28" s="141"/>
      <c r="P28" s="141"/>
      <c r="Q28" s="141"/>
      <c r="R28" s="141"/>
      <c r="S28" s="141"/>
      <c r="T28" s="141"/>
      <c r="U28" s="141"/>
      <c r="V28" s="141"/>
      <c r="X28"/>
    </row>
    <row r="29" spans="3:24" ht="12.75">
      <c r="C29" s="158"/>
      <c r="F29" s="159"/>
      <c r="I29" s="159"/>
      <c r="L29" s="159"/>
      <c r="O29" s="141"/>
      <c r="P29" s="141"/>
      <c r="Q29" s="141"/>
      <c r="R29" s="141"/>
      <c r="S29" s="141"/>
      <c r="T29" s="141"/>
      <c r="U29" s="141"/>
      <c r="V29" s="141"/>
      <c r="X29"/>
    </row>
    <row r="30" spans="3:24" ht="12.75">
      <c r="C30" s="158"/>
      <c r="F30" s="159"/>
      <c r="I30" s="159"/>
      <c r="L30" s="159"/>
      <c r="O30" s="141"/>
      <c r="P30" s="141"/>
      <c r="Q30" s="141"/>
      <c r="R30" s="141"/>
      <c r="S30" s="141"/>
      <c r="T30" s="141"/>
      <c r="U30" s="141"/>
      <c r="V30" s="141"/>
      <c r="X30"/>
    </row>
    <row r="31" spans="3:24" ht="12.75">
      <c r="C31" s="158"/>
      <c r="F31" s="159"/>
      <c r="I31" s="159"/>
      <c r="O31" s="141"/>
      <c r="P31" s="141"/>
      <c r="Q31" s="141"/>
      <c r="R31" s="141"/>
      <c r="S31" s="141"/>
      <c r="T31" s="141"/>
      <c r="U31" s="141"/>
      <c r="V31" s="141"/>
      <c r="X31"/>
    </row>
    <row r="32" spans="3:24" ht="12.75">
      <c r="C32" s="158"/>
      <c r="F32" s="159"/>
      <c r="I32" s="159"/>
      <c r="O32" s="141"/>
      <c r="P32" s="141"/>
      <c r="Q32" s="141"/>
      <c r="R32" s="141"/>
      <c r="S32" s="141"/>
      <c r="T32" s="141"/>
      <c r="U32" s="141"/>
      <c r="V32" s="141"/>
      <c r="X32"/>
    </row>
    <row r="33" spans="3:24" ht="12.75">
      <c r="C33" s="158"/>
      <c r="I33" s="159"/>
      <c r="O33" s="141"/>
      <c r="P33" s="141"/>
      <c r="Q33" s="141"/>
      <c r="R33" s="141"/>
      <c r="S33" s="141"/>
      <c r="T33" s="141"/>
      <c r="U33" s="141"/>
      <c r="V33" s="141"/>
      <c r="X33"/>
    </row>
    <row r="34" spans="15:24" ht="12.75">
      <c r="O34" s="141"/>
      <c r="P34" s="141"/>
      <c r="Q34" s="141"/>
      <c r="R34" s="141"/>
      <c r="S34" s="141"/>
      <c r="T34" s="141"/>
      <c r="U34" s="141"/>
      <c r="V34" s="141"/>
      <c r="X34"/>
    </row>
    <row r="35" spans="15:24" ht="12.75">
      <c r="O35" s="141"/>
      <c r="P35" s="141"/>
      <c r="Q35" s="141"/>
      <c r="R35" s="141"/>
      <c r="S35" s="141"/>
      <c r="T35" s="141"/>
      <c r="U35" s="141"/>
      <c r="V35" s="141"/>
      <c r="X35"/>
    </row>
    <row r="36" spans="15:24" ht="12.75">
      <c r="O36" s="141"/>
      <c r="P36" s="141"/>
      <c r="Q36" s="141"/>
      <c r="R36" s="141"/>
      <c r="S36" s="141"/>
      <c r="T36" s="141"/>
      <c r="U36" s="141"/>
      <c r="V36" s="141"/>
      <c r="X36"/>
    </row>
    <row r="37" spans="15:24" ht="12.75">
      <c r="O37" s="141"/>
      <c r="P37" s="141"/>
      <c r="Q37" s="141"/>
      <c r="R37" s="141"/>
      <c r="S37" s="141"/>
      <c r="T37" s="141"/>
      <c r="U37" s="141"/>
      <c r="V37" s="141"/>
      <c r="X37"/>
    </row>
    <row r="38" spans="15:24" ht="12.75">
      <c r="O38" s="141"/>
      <c r="P38" s="141"/>
      <c r="Q38" s="141"/>
      <c r="R38" s="141"/>
      <c r="S38" s="141"/>
      <c r="T38" s="141"/>
      <c r="U38" s="141"/>
      <c r="V38" s="141"/>
      <c r="X38"/>
    </row>
    <row r="39" spans="15:24" ht="12.75">
      <c r="O39" s="141"/>
      <c r="P39" s="141"/>
      <c r="Q39" s="141"/>
      <c r="R39" s="141"/>
      <c r="S39" s="141"/>
      <c r="T39" s="141"/>
      <c r="U39" s="141"/>
      <c r="V39" s="141"/>
      <c r="X39"/>
    </row>
    <row r="40" spans="15:24" ht="12.75">
      <c r="O40" s="141"/>
      <c r="P40" s="141"/>
      <c r="Q40" s="141"/>
      <c r="R40" s="141"/>
      <c r="S40" s="141"/>
      <c r="T40" s="141"/>
      <c r="U40" s="141"/>
      <c r="V40" s="141"/>
      <c r="X40"/>
    </row>
    <row r="41" spans="15:24" ht="12.75">
      <c r="O41" s="141"/>
      <c r="P41" s="141"/>
      <c r="Q41" s="141"/>
      <c r="R41" s="141"/>
      <c r="S41" s="141"/>
      <c r="T41" s="141"/>
      <c r="U41" s="141"/>
      <c r="V41" s="141"/>
      <c r="X41"/>
    </row>
    <row r="42" spans="15:24" ht="12.75">
      <c r="O42" s="141"/>
      <c r="P42" s="141"/>
      <c r="Q42" s="141"/>
      <c r="R42" s="141"/>
      <c r="S42" s="141"/>
      <c r="T42" s="141"/>
      <c r="U42" s="141"/>
      <c r="V42" s="141"/>
      <c r="X42"/>
    </row>
    <row r="43" spans="15:24" ht="12.75">
      <c r="O43" s="141"/>
      <c r="P43" s="141"/>
      <c r="Q43" s="141"/>
      <c r="R43" s="141"/>
      <c r="S43" s="141"/>
      <c r="T43" s="141"/>
      <c r="U43" s="141"/>
      <c r="V43" s="141"/>
      <c r="X43"/>
    </row>
    <row r="44" spans="6:24" ht="12.75">
      <c r="F44" s="91"/>
      <c r="G44" s="92"/>
      <c r="H44" s="93"/>
      <c r="I44" s="91"/>
      <c r="J44" s="92"/>
      <c r="K44" s="93"/>
      <c r="L44" s="91"/>
      <c r="M44" s="92"/>
      <c r="N44" s="93"/>
      <c r="O44" s="141"/>
      <c r="P44" s="141"/>
      <c r="Q44" s="141"/>
      <c r="R44" s="141"/>
      <c r="S44" s="141"/>
      <c r="T44" s="141"/>
      <c r="U44" s="141"/>
      <c r="V44" s="141"/>
      <c r="X44"/>
    </row>
    <row r="45" spans="6:24" ht="12.75">
      <c r="F45" s="91"/>
      <c r="G45" s="92"/>
      <c r="H45" s="93"/>
      <c r="I45" s="91"/>
      <c r="J45" s="92"/>
      <c r="K45" s="93"/>
      <c r="L45" s="91"/>
      <c r="M45" s="92"/>
      <c r="N45" s="93"/>
      <c r="O45" s="141"/>
      <c r="P45" s="141"/>
      <c r="Q45" s="141"/>
      <c r="R45" s="141"/>
      <c r="S45" s="141"/>
      <c r="T45" s="141"/>
      <c r="U45" s="141"/>
      <c r="V45" s="141"/>
      <c r="X45"/>
    </row>
    <row r="46" spans="6:24" ht="12.75">
      <c r="F46" s="91"/>
      <c r="G46" s="92"/>
      <c r="H46" s="93"/>
      <c r="I46" s="91"/>
      <c r="J46" s="92"/>
      <c r="K46" s="93"/>
      <c r="L46" s="91"/>
      <c r="M46" s="92"/>
      <c r="N46" s="93"/>
      <c r="O46" s="141"/>
      <c r="P46" s="141"/>
      <c r="Q46" s="141"/>
      <c r="R46" s="141"/>
      <c r="S46" s="141"/>
      <c r="T46" s="141"/>
      <c r="U46" s="141"/>
      <c r="V46" s="141"/>
      <c r="X46"/>
    </row>
    <row r="47" spans="6:24" ht="12.75">
      <c r="F47" s="91"/>
      <c r="G47" s="92"/>
      <c r="H47" s="93"/>
      <c r="I47" s="91"/>
      <c r="J47" s="92"/>
      <c r="K47" s="93"/>
      <c r="L47" s="91"/>
      <c r="M47" s="92"/>
      <c r="N47" s="93"/>
      <c r="O47" s="141"/>
      <c r="P47" s="141"/>
      <c r="Q47" s="141"/>
      <c r="R47" s="141"/>
      <c r="S47" s="141"/>
      <c r="T47" s="141"/>
      <c r="U47" s="141"/>
      <c r="V47" s="141"/>
      <c r="X47"/>
    </row>
    <row r="48" spans="6:24" ht="12.75">
      <c r="F48" s="91"/>
      <c r="G48" s="92"/>
      <c r="H48" s="93"/>
      <c r="I48" s="91"/>
      <c r="J48" s="92"/>
      <c r="K48" s="93"/>
      <c r="L48" s="91"/>
      <c r="M48" s="92"/>
      <c r="N48" s="93"/>
      <c r="O48" s="141"/>
      <c r="P48" s="141"/>
      <c r="Q48" s="141"/>
      <c r="R48" s="141"/>
      <c r="S48" s="141"/>
      <c r="T48" s="141"/>
      <c r="U48" s="141"/>
      <c r="V48" s="141"/>
      <c r="X48"/>
    </row>
    <row r="49" spans="6:24" ht="12.75">
      <c r="F49" s="91"/>
      <c r="G49" s="92"/>
      <c r="H49" s="93"/>
      <c r="I49" s="91"/>
      <c r="J49" s="92"/>
      <c r="K49" s="93"/>
      <c r="L49" s="91"/>
      <c r="M49" s="92"/>
      <c r="N49" s="93"/>
      <c r="O49" s="141"/>
      <c r="P49" s="141"/>
      <c r="Q49" s="141"/>
      <c r="R49" s="141"/>
      <c r="S49" s="141"/>
      <c r="T49" s="141"/>
      <c r="U49" s="141"/>
      <c r="V49" s="141"/>
      <c r="X49"/>
    </row>
    <row r="50" spans="6:24" ht="12.75">
      <c r="F50" s="91"/>
      <c r="G50" s="92"/>
      <c r="H50" s="93"/>
      <c r="I50" s="91"/>
      <c r="J50" s="92"/>
      <c r="K50" s="93"/>
      <c r="L50" s="91"/>
      <c r="M50" s="92"/>
      <c r="N50" s="93"/>
      <c r="O50" s="141"/>
      <c r="P50" s="141"/>
      <c r="Q50" s="141"/>
      <c r="R50" s="141"/>
      <c r="S50" s="141"/>
      <c r="T50" s="141"/>
      <c r="U50" s="141"/>
      <c r="V50" s="141"/>
      <c r="X50"/>
    </row>
    <row r="51" spans="6:24" ht="12.75">
      <c r="F51" s="91"/>
      <c r="G51" s="92"/>
      <c r="H51" s="93"/>
      <c r="I51" s="91"/>
      <c r="J51" s="92"/>
      <c r="K51" s="93"/>
      <c r="L51" s="91"/>
      <c r="M51" s="92"/>
      <c r="N51" s="93"/>
      <c r="O51" s="141"/>
      <c r="P51" s="141"/>
      <c r="Q51" s="141"/>
      <c r="R51" s="141"/>
      <c r="S51" s="141"/>
      <c r="T51" s="141"/>
      <c r="U51" s="141"/>
      <c r="V51" s="141"/>
      <c r="X51"/>
    </row>
    <row r="52" spans="6:24" ht="12.75">
      <c r="F52" s="91"/>
      <c r="G52" s="92"/>
      <c r="H52" s="93"/>
      <c r="I52" s="91"/>
      <c r="J52" s="92"/>
      <c r="K52" s="93"/>
      <c r="L52" s="91"/>
      <c r="M52" s="92"/>
      <c r="N52" s="93"/>
      <c r="O52" s="141"/>
      <c r="P52" s="141"/>
      <c r="Q52" s="141"/>
      <c r="R52" s="141"/>
      <c r="S52" s="141"/>
      <c r="T52" s="141"/>
      <c r="U52" s="141"/>
      <c r="V52" s="141"/>
      <c r="X52"/>
    </row>
    <row r="53" spans="6:24" ht="12.75">
      <c r="F53" s="91"/>
      <c r="G53" s="92"/>
      <c r="H53" s="93"/>
      <c r="I53" s="91"/>
      <c r="J53" s="92"/>
      <c r="K53" s="93"/>
      <c r="L53" s="91"/>
      <c r="M53" s="92"/>
      <c r="N53" s="93"/>
      <c r="O53" s="141"/>
      <c r="P53" s="141"/>
      <c r="Q53" s="141"/>
      <c r="R53" s="141"/>
      <c r="S53" s="141"/>
      <c r="T53" s="141"/>
      <c r="U53" s="141"/>
      <c r="V53" s="141"/>
      <c r="X53"/>
    </row>
    <row r="54" spans="6:24" ht="12.75">
      <c r="F54" s="91"/>
      <c r="G54" s="92"/>
      <c r="H54" s="93"/>
      <c r="I54" s="91"/>
      <c r="J54" s="92"/>
      <c r="K54" s="93"/>
      <c r="L54" s="91"/>
      <c r="M54" s="92"/>
      <c r="N54" s="93"/>
      <c r="O54" s="141"/>
      <c r="P54" s="141"/>
      <c r="Q54" s="141"/>
      <c r="R54" s="141"/>
      <c r="S54" s="141"/>
      <c r="T54" s="141"/>
      <c r="U54" s="141"/>
      <c r="V54" s="141"/>
      <c r="X54"/>
    </row>
    <row r="55" spans="6:24" ht="12.75">
      <c r="F55" s="91"/>
      <c r="G55" s="92"/>
      <c r="H55" s="93"/>
      <c r="I55" s="91"/>
      <c r="J55" s="92"/>
      <c r="K55" s="93"/>
      <c r="L55" s="91"/>
      <c r="M55" s="92"/>
      <c r="N55" s="93"/>
      <c r="O55" s="141"/>
      <c r="P55" s="141"/>
      <c r="Q55" s="141"/>
      <c r="R55" s="141"/>
      <c r="S55" s="141"/>
      <c r="T55" s="141"/>
      <c r="U55" s="141"/>
      <c r="V55" s="141"/>
      <c r="X55"/>
    </row>
    <row r="56" spans="6:24" ht="12.75">
      <c r="F56" s="91"/>
      <c r="G56" s="92"/>
      <c r="H56" s="93"/>
      <c r="I56" s="91"/>
      <c r="J56" s="92"/>
      <c r="K56" s="93"/>
      <c r="L56" s="91"/>
      <c r="M56" s="92"/>
      <c r="N56" s="93"/>
      <c r="O56" s="141"/>
      <c r="P56" s="141"/>
      <c r="Q56" s="141"/>
      <c r="R56" s="141"/>
      <c r="S56" s="141"/>
      <c r="T56" s="141"/>
      <c r="U56" s="141"/>
      <c r="V56" s="141"/>
      <c r="X56"/>
    </row>
    <row r="57" spans="6:24" ht="12.75">
      <c r="F57" s="91"/>
      <c r="G57" s="92"/>
      <c r="H57" s="93"/>
      <c r="I57" s="91"/>
      <c r="J57" s="92"/>
      <c r="K57" s="93"/>
      <c r="L57" s="91"/>
      <c r="M57" s="92"/>
      <c r="N57" s="93"/>
      <c r="O57" s="141"/>
      <c r="P57" s="141"/>
      <c r="Q57" s="141"/>
      <c r="R57" s="141"/>
      <c r="S57" s="141"/>
      <c r="T57" s="141"/>
      <c r="U57" s="141"/>
      <c r="V57" s="141"/>
      <c r="X57"/>
    </row>
    <row r="58" spans="6:24" ht="12.75">
      <c r="F58" s="91"/>
      <c r="G58" s="92"/>
      <c r="H58" s="93"/>
      <c r="I58" s="91"/>
      <c r="J58" s="92"/>
      <c r="K58" s="93"/>
      <c r="L58" s="91"/>
      <c r="M58" s="92"/>
      <c r="N58" s="93"/>
      <c r="O58" s="141"/>
      <c r="P58" s="141"/>
      <c r="Q58" s="141"/>
      <c r="R58" s="141"/>
      <c r="S58" s="141"/>
      <c r="T58" s="141"/>
      <c r="U58" s="141"/>
      <c r="V58" s="141"/>
      <c r="X58"/>
    </row>
    <row r="59" spans="6:24" ht="12.75">
      <c r="F59" s="91"/>
      <c r="G59" s="92"/>
      <c r="H59" s="93"/>
      <c r="I59" s="91"/>
      <c r="J59" s="92"/>
      <c r="K59" s="93"/>
      <c r="L59" s="91"/>
      <c r="M59" s="92"/>
      <c r="N59" s="93"/>
      <c r="O59" s="141"/>
      <c r="P59" s="141"/>
      <c r="Q59" s="141"/>
      <c r="R59" s="141"/>
      <c r="S59" s="141"/>
      <c r="T59" s="141"/>
      <c r="U59" s="141"/>
      <c r="V59" s="141"/>
      <c r="X59"/>
    </row>
    <row r="60" spans="6:24" ht="12.75">
      <c r="F60" s="91"/>
      <c r="G60" s="92"/>
      <c r="H60" s="93"/>
      <c r="I60" s="91"/>
      <c r="J60" s="92"/>
      <c r="K60" s="93"/>
      <c r="L60" s="91"/>
      <c r="M60" s="92"/>
      <c r="N60" s="93"/>
      <c r="O60" s="141"/>
      <c r="P60" s="141"/>
      <c r="Q60" s="141"/>
      <c r="R60" s="141"/>
      <c r="S60" s="141"/>
      <c r="T60" s="141"/>
      <c r="U60" s="141"/>
      <c r="V60" s="141"/>
      <c r="X60"/>
    </row>
    <row r="61" spans="15:22" ht="12.75">
      <c r="O61" s="141"/>
      <c r="P61" s="141"/>
      <c r="Q61" s="141"/>
      <c r="R61" s="141"/>
      <c r="S61" s="141"/>
      <c r="T61" s="141"/>
      <c r="U61" s="141"/>
      <c r="V61" s="141"/>
    </row>
    <row r="62" spans="15:22" ht="12.75">
      <c r="O62" s="141"/>
      <c r="P62" s="141"/>
      <c r="Q62" s="141"/>
      <c r="R62" s="141"/>
      <c r="S62" s="141"/>
      <c r="T62" s="141"/>
      <c r="U62" s="141"/>
      <c r="V62" s="141"/>
    </row>
    <row r="63" spans="15:22" ht="12.75">
      <c r="O63" s="141"/>
      <c r="P63" s="141"/>
      <c r="Q63" s="141"/>
      <c r="R63" s="141"/>
      <c r="S63" s="141"/>
      <c r="T63" s="141"/>
      <c r="U63" s="141"/>
      <c r="V63" s="141"/>
    </row>
    <row r="64" spans="15:22" ht="12.75">
      <c r="O64" s="141"/>
      <c r="P64" s="141"/>
      <c r="Q64" s="141"/>
      <c r="R64" s="141"/>
      <c r="S64" s="141"/>
      <c r="T64" s="141"/>
      <c r="U64" s="141"/>
      <c r="V64" s="141"/>
    </row>
    <row r="65" spans="15:22" ht="12.75">
      <c r="O65" s="141"/>
      <c r="P65" s="141"/>
      <c r="Q65" s="141"/>
      <c r="R65" s="141"/>
      <c r="S65" s="141"/>
      <c r="T65" s="141"/>
      <c r="U65" s="141"/>
      <c r="V65" s="141"/>
    </row>
    <row r="66" spans="15:22" ht="12.75">
      <c r="O66" s="141"/>
      <c r="P66" s="141"/>
      <c r="Q66" s="141"/>
      <c r="R66" s="141"/>
      <c r="S66" s="141"/>
      <c r="T66" s="141"/>
      <c r="U66" s="141"/>
      <c r="V66" s="141"/>
    </row>
    <row r="67" spans="15:22" ht="12.75">
      <c r="O67" s="141"/>
      <c r="P67" s="141"/>
      <c r="Q67" s="141"/>
      <c r="R67" s="141"/>
      <c r="S67" s="141"/>
      <c r="T67" s="141"/>
      <c r="U67" s="141"/>
      <c r="V67" s="141"/>
    </row>
    <row r="68" spans="15:22" ht="12.75">
      <c r="O68" s="141"/>
      <c r="P68" s="141"/>
      <c r="Q68" s="141"/>
      <c r="R68" s="141"/>
      <c r="S68" s="141"/>
      <c r="T68" s="141"/>
      <c r="U68" s="141"/>
      <c r="V68" s="141"/>
    </row>
    <row r="69" spans="15:22" ht="12.75">
      <c r="O69" s="120"/>
      <c r="P69" s="120"/>
      <c r="Q69" s="120"/>
      <c r="R69" s="120"/>
      <c r="S69" s="120"/>
      <c r="T69" s="120"/>
      <c r="U69" s="120"/>
      <c r="V69" s="120"/>
    </row>
  </sheetData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Delor</dc:creator>
  <cp:keywords/>
  <dc:description/>
  <cp:lastModifiedBy>Göran Olsson</cp:lastModifiedBy>
  <cp:lastPrinted>2000-07-18T15:48:01Z</cp:lastPrinted>
  <dcterms:created xsi:type="dcterms:W3CDTF">1999-08-21T08:22:36Z</dcterms:created>
  <dcterms:modified xsi:type="dcterms:W3CDTF">2000-07-23T20:49:31Z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